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<sst xmlns="http://schemas.openxmlformats.org/spreadsheetml/2006/main" count="5596" uniqueCount="487">
  <si>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</si>
  <si>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</si>
  <si>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</si>
  <si>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</si>
  <si>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</si>
  <si>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</si>
  <si>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</si>
  <si>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</si>
  <si>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</si>
  <si>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</si>
  <si>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</si>
  <si>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</si>
  <si>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</si>
  <si>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</si>
  <si>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</si>
  <si>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</si>
  <si>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</si>
  <si>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</si>
  <si>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</si>
  <si>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</si>
  <si>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</si>
  <si>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</si>
  <si>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</si>
  <si>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</si>
  <si>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</si>
  <si>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</si>
  <si>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</si>
  <si>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</si>
  <si>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</si>
  <si>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</si>
  <si>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</si>
  <si>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</si>
  <si>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</si>
  <si>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</si>
  <si>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</si>
  <si>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</si>
  <si>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</si>
  <si>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</si>
  <si>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</si>
  <si>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</si>
  <si>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</si>
  <si>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</si>
  <si>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</si>
  <si>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</si>
  <si>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</si>
  <si>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</si>
  <si>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</si>
  <si>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</si>
  <si>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</si>
  <si>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</si>
  <si>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</si>
  <si>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</si>
  <si>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</si>
  <si>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</si>
  <si>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</si>
  <si>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</si>
  <si>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</si>
  <si>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</si>
  <si>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</si>
  <si>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</si>
  <si>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</si>
  <si>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</si>
  <si>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</si>
  <si>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</si>
  <si>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</si>
  <si>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</si>
  <si>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</si>
  <si>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</si>
  <si>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</si>
  <si>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</si>
  <si>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</si>
  <si>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</si>
  <si>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</si>
  <si>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</si>
  <si>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</si>
  <si>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</si>
  <si>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</si>
  <si>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</si>
  <si>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</si>
  <si>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</si>
  <si>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</si>
  <si>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</si>
  <si>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</si>
  <si>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</si>
  <si>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</si>
  <si>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</si>
  <si>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</si>
  <si>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</si>
  <si>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</si>
  <si>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</si>
  <si>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</si>
  <si>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</si>
  <si>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</si>
  <si>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</si>
  <si>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</si>
  <si>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</si>
  <si>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</si>
  <si>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</si>
  <si>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</si>
  <si>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</si>
  <si>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</si>
  <si>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</si>
  <si>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</si>
  <si>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</si>
  <si>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</si>
  <si>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</si>
  <si>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</si>
  <si>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</si>
  <si>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</si>
  <si>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</si>
  <si>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</si>
  <si>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</si>
  <si>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</si>
  <si>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</si>
  <si>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</si>
  <si>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</si>
  <si>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</si>
  <si>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</si>
  <si>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</si>
  <si>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</si>
  <si>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</si>
  <si>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</si>
  <si>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</si>
  <si>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</si>
  <si>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</si>
  <si>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</si>
  <si>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</si>
  <si>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</si>
  <si>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</si>
  <si>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</si>
  <si>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</si>
  <si>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</si>
  <si>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</si>
  <si>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</si>
  <si>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</si>
  <si>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</si>
  <si>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</si>
  <si>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</si>
  <si>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</si>
  <si>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</si>
  <si>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</si>
  <si>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</si>
  <si>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</si>
  <si>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</si>
  <si>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</si>
  <si>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</si>
  <si>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</si>
  <si>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</si>
  <si>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</si>
  <si>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</si>
  <si>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</si>
  <si>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</si>
  <si>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</si>
  <si>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</si>
  <si>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</si>
  <si>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</si>
  <si>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</si>
  <si>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</si>
  <si>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</si>
  <si>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</si>
  <si>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</si>
  <si>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</si>
  <si>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</si>
  <si>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</si>
  <si>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</si>
  <si>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</si>
  <si>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</si>
  <si>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</si>
  <si>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</si>
  <si>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</si>
  <si>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</si>
  <si>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</si>
  <si>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</si>
  <si>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</si>
  <si>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</si>
  <si>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</si>
  <si>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</si>
  <si>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</si>
  <si>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</si>
  <si>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</si>
  <si>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</si>
  <si>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</si>
  <si>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</si>
  <si>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</si>
  <si>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</si>
  <si>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</si>
  <si>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</si>
  <si>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</si>
  <si>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</si>
  <si>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</si>
  <si>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</si>
  <si>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</si>
  <si>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</si>
  <si>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</si>
  <si>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</si>
  <si>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</si>
  <si>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</si>
  <si>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</si>
  <si>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</si>
  <si>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</si>
  <si>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</si>
  <si>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</si>
  <si>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</si>
  <si>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</si>
  <si>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</si>
  <si>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</si>
  <si>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</si>
  <si>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</si>
  <si>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</si>
  <si>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</si>
  <si>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</si>
  <si>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</si>
  <si>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</si>
  <si>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</si>
  <si>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</si>
  <si>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</si>
  <si>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</si>
  <si>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</si>
  <si>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</si>
  <si>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</si>
  <si>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</si>
  <si>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</si>
  <si>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</si>
  <si>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</si>
  <si>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</si>
  <si>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</si>
  <si>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</si>
  <si>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</si>
  <si>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</si>
  <si>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</si>
  <si>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</si>
  <si>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</si>
  <si>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</si>
  <si>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</si>
  <si>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</si>
  <si>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</si>
  <si>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</si>
  <si>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</si>
  <si>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</si>
  <si>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</si>
  <si>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</si>
  <si>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</si>
  <si>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</si>
  <si>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</si>
  <si>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</si>
  <si>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</si>
  <si>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</si>
  <si>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</si>
  <si>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</si>
  <si>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</si>
  <si>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</si>
  <si>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</si>
  <si>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</si>
  <si>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</si>
  <si>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</si>
  <si>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</si>
  <si>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</si>
  <si>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</si>
  <si>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</si>
  <si>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</si>
  <si>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</si>
  <si>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</si>
  <si>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</si>
  <si>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</si>
  <si>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</si>
  <si>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</si>
  <si>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</si>
  <si>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</si>
  <si>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</si>
  <si>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</si>
  <si>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</si>
  <si>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</si>
  <si>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</si>
  <si>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</si>
  <si>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</si>
  <si>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</si>
  <si>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</si>
  <si>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</si>
  <si>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</si>
  <si>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</si>
  <si>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</si>
  <si>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</si>
  <si>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</si>
  <si>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</si>
  <si>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</si>
  <si>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</si>
  <si>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</si>
  <si>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</si>
  <si>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</si>
  <si>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</si>
  <si>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</si>
  <si>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</si>
  <si>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</si>
  <si>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</si>
  <si>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</si>
  <si>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</si>
  <si>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</si>
  <si>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</si>
  <si>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</si>
  <si>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</si>
  <si>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</si>
  <si>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</si>
  <si>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</si>
  <si>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</si>
  <si>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</si>
  <si>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</si>
  <si>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</si>
  <si>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</si>
  <si>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</si>
  <si>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</si>
  <si>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</si>
  <si>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</si>
  <si>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</si>
  <si>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</si>
  <si>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</si>
  <si>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</si>
  <si>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</si>
  <si>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</si>
  <si>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</si>
  <si>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</si>
  <si>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</si>
  <si>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</si>
  <si>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</si>
  <si>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</si>
  <si>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</si>
  <si>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</si>
  <si>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</si>
  <si>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</si>
  <si>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</si>
  <si>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</si>
  <si>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</si>
  <si>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</si>
  <si>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</si>
  <si>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</si>
  <si>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</si>
  <si>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</si>
  <si>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</si>
  <si>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</si>
  <si>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</si>
  <si>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</si>
  <si>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</si>
  <si>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</si>
  <si>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</si>
  <si>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</si>
  <si>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</si>
  <si>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</si>
  <si>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</si>
  <si>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</si>
  <si>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</si>
  <si>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</si>
  <si>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</si>
  <si>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</si>
  <si>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</si>
  <si>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</si>
  <si>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</si>
  <si>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</si>
  <si>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</si>
  <si>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</si>
  <si>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</si>
  <si>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</si>
  <si>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</si>
  <si>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</si>
  <si>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</si>
  <si>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</si>
  <si>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</si>
  <si>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</si>
  <si>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</si>
  <si>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</si>
  <si>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</si>
  <si>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</si>
  <si>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</si>
  <si>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</si>
  <si>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</si>
  <si>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</si>
  <si>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</si>
  <si>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</si>
  <si>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</si>
  <si>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</si>
  <si>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</si>
  <si>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</si>
  <si>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</si>
  <si>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</si>
  <si>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</si>
  <si>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</si>
  <si>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</si>
  <si>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</si>
  <si>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</si>
  <si>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</si>
  <si>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</si>
  <si>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</si>
  <si>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</si>
  <si>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</si>
  <si>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</si>
  <si>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</si>
  <si>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</si>
  <si>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</si>
  <si>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</si>
  <si>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</si>
  <si>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</si>
  <si>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</si>
  <si>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</si>
  <si>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</si>
  <si>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</si>
  <si>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</si>
  <si>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</si>
  <si>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</si>
  <si>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</si>
  <si>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</si>
  <si>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</si>
  <si>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</si>
  <si>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</si>
  <si>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</si>
  <si>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</si>
  <si>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</si>
  <si>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</si>
  <si>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</si>
  <si>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</si>
  <si>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</si>
  <si>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</si>
  <si>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</si>
  <si>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</si>
  <si>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</si>
  <si>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</si>
  <si>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</si>
  <si>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</si>
  <si>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</si>
  <si>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</si>
  <si>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</si>
  <si>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</si>
  <si>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</si>
  <si>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</si>
  <si>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</si>
  <si>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</si>
  <si>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</si>
  <si>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</si>
  <si>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</si>
  <si>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</si>
  <si>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</si>
  <si>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</si>
  <si>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</si>
  <si>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</si>
  <si>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</si>
  <si>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</si>
  <si>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</si>
  <si>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</si>
  <si>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</si>
  <si>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</si>
  <si>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</si>
  <si>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</si>
  <si>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</si>
  <si>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</si>
  <si>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</si>
  <si>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</si>
  <si>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</si>
  <si>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</si>
  <si>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</si>
  <si>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</si>
  <si>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</si>
  <si>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</si>
  <si>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</si>
  <si>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</si>
  <si>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</si>
  <si>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</si>
  <si>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</si>
  <si>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</si>
  <si>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</si>
  <si>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</si>
  <si>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</si>
  <si>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</si>
  <si>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</si>
  <si>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</si>
  <si>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</si>
  <si>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</si>
  <si>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</si>
  <si>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</si>
  <si>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</si>
  <si>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</si>
  <si>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XVI/120/2016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</si>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</sst>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2" fillId="0" borderId="34" xfId="134" applyFont="1" applyBorder="1" applyAlignment="1">
      <alignment vertical="center"/>
      <protection/>
    </xf>
    <xf numFmtId="0" fontId="62" fillId="0" borderId="30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6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3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2533543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1344106"/>
        <c:axId val="2992475"/>
      </c:lineChart>
      <c:catAx>
        <c:axId val="1134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475"/>
        <c:crosses val="autoZero"/>
        <c:auto val="1"/>
        <c:lblOffset val="100"/>
        <c:tickLblSkip val="1"/>
        <c:noMultiLvlLbl val="0"/>
      </c:catAx>
      <c:valAx>
        <c:axId val="2992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410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</c:v>
                </c:pt>
                <c:pt idx="2">
                  <c:v>0.1197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0.0438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4512756"/>
        <c:axId val="66090965"/>
      </c:lineChart>
      <c:catAx>
        <c:axId val="451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0965"/>
        <c:crosses val="autoZero"/>
        <c:auto val="1"/>
        <c:lblOffset val="100"/>
        <c:tickLblSkip val="1"/>
        <c:noMultiLvlLbl val="0"/>
      </c:catAx>
      <c:valAx>
        <c:axId val="66090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0.1268</c:v>
                </c:pt>
                <c:pt idx="1">
                  <c:v>0.1405</c:v>
                </c:pt>
                <c:pt idx="2">
                  <c:v>0.1162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0.0437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43624718"/>
        <c:axId val="57394655"/>
      </c:lineChart>
      <c:catAx>
        <c:axId val="4362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4655"/>
        <c:crosses val="autoZero"/>
        <c:auto val="1"/>
        <c:lblOffset val="100"/>
        <c:tickLblSkip val="1"/>
        <c:noMultiLvlLbl val="0"/>
      </c:catAx>
      <c:valAx>
        <c:axId val="57394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2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0.1268</c:v>
                </c:pt>
                <c:pt idx="1">
                  <c:v>0.1405</c:v>
                </c:pt>
                <c:pt idx="2">
                  <c:v>0.1162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0.0438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7850632"/>
        <c:axId val="27617609"/>
      </c:lineChart>
      <c:catAx>
        <c:axId val="785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17609"/>
        <c:crosses val="autoZero"/>
        <c:auto val="1"/>
        <c:lblOffset val="100"/>
        <c:tickLblSkip val="1"/>
        <c:noMultiLvlLbl val="0"/>
      </c:catAx>
      <c:valAx>
        <c:axId val="27617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0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25201005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2533543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5003684"/>
        <c:axId val="13965573"/>
      </c:barChart>
      <c:catAx>
        <c:axId val="6500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5573"/>
        <c:crosses val="autoZero"/>
        <c:auto val="1"/>
        <c:lblOffset val="100"/>
        <c:tickLblSkip val="1"/>
        <c:noMultiLvlLbl val="0"/>
      </c:catAx>
      <c:valAx>
        <c:axId val="13965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0368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23460837.12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3326444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1395931.24</c:v>
                </c:pt>
              </c:numCache>
            </c:numRef>
          </c:val>
        </c:ser>
        <c:overlap val="100"/>
        <c:axId val="34976446"/>
        <c:axId val="25895951"/>
      </c:barChart>
      <c:catAx>
        <c:axId val="34976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5951"/>
        <c:crosses val="autoZero"/>
        <c:auto val="1"/>
        <c:lblOffset val="100"/>
        <c:tickLblSkip val="1"/>
        <c:noMultiLvlLbl val="0"/>
      </c:catAx>
      <c:valAx>
        <c:axId val="25895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7644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9525018</c:v>
                </c:pt>
                <c:pt idx="1">
                  <c:v>9700000</c:v>
                </c:pt>
                <c:pt idx="2">
                  <c:v>9894000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2230738</c:v>
                </c:pt>
                <c:pt idx="1">
                  <c:v>2277000</c:v>
                </c:pt>
                <c:pt idx="2">
                  <c:v>2323000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3038264"/>
        <c:axId val="37139577"/>
      </c:lineChart>
      <c:catAx>
        <c:axId val="23038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39577"/>
        <c:crosses val="autoZero"/>
        <c:auto val="1"/>
        <c:lblOffset val="100"/>
        <c:tickLblSkip val="1"/>
        <c:noMultiLvlLbl val="0"/>
      </c:catAx>
      <c:valAx>
        <c:axId val="37139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3826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57072</c:v>
                </c:pt>
                <c:pt idx="1">
                  <c:v>300000</c:v>
                </c:pt>
                <c:pt idx="2">
                  <c:v>700000</c:v>
                </c:pt>
                <c:pt idx="3">
                  <c:v>700000</c:v>
                </c:pt>
                <c:pt idx="4">
                  <c:v>600000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7088018"/>
        <c:axId val="44438595"/>
      </c:lineChart>
      <c:catAx>
        <c:axId val="170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38595"/>
        <c:crosses val="autoZero"/>
        <c:auto val="1"/>
        <c:lblOffset val="100"/>
        <c:tickLblSkip val="1"/>
        <c:noMultiLvlLbl val="0"/>
      </c:catAx>
      <c:valAx>
        <c:axId val="44438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801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553068.76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3326444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1395931.24</c:v>
                </c:pt>
              </c:numCache>
            </c:numRef>
          </c:val>
        </c:ser>
        <c:overlap val="100"/>
        <c:axId val="62720844"/>
        <c:axId val="12119405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1740167.88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62720844"/>
        <c:axId val="12119405"/>
      </c:lineChart>
      <c:catAx>
        <c:axId val="6272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9405"/>
        <c:crosses val="autoZero"/>
        <c:auto val="1"/>
        <c:lblOffset val="100"/>
        <c:tickLblSkip val="1"/>
        <c:noMultiLvlLbl val="0"/>
      </c:catAx>
      <c:valAx>
        <c:axId val="12119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084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</c:v>
                </c:pt>
                <c:pt idx="2">
                  <c:v>0.1197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0.0437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4885222"/>
        <c:axId val="32131575"/>
      </c:lineChart>
      <c:catAx>
        <c:axId val="488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1575"/>
        <c:crosses val="autoZero"/>
        <c:auto val="1"/>
        <c:lblOffset val="100"/>
        <c:tickLblSkip val="1"/>
        <c:noMultiLvlLbl val="0"/>
      </c:catAx>
      <c:valAx>
        <c:axId val="32131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5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5930721.49</c:v>
                </c:pt>
                <c:pt idx="1">
                  <c:v>4933722.61</c:v>
                </c:pt>
                <c:pt idx="2">
                  <c:v>3986343.16</c:v>
                </c:pt>
                <c:pt idx="3">
                  <c:v>3128928.28</c:v>
                </c:pt>
                <c:pt idx="4">
                  <c:v>2465513.4</c:v>
                </c:pt>
                <c:pt idx="5">
                  <c:v>1802098.52</c:v>
                </c:pt>
                <c:pt idx="6">
                  <c:v>1138683.64</c:v>
                </c:pt>
                <c:pt idx="7">
                  <c:v>553068.76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553068.76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41137888"/>
        <c:axId val="37393377"/>
      </c:lineChart>
      <c:catAx>
        <c:axId val="4113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93377"/>
        <c:crosses val="autoZero"/>
        <c:auto val="1"/>
        <c:lblOffset val="100"/>
        <c:tickLblSkip val="1"/>
        <c:noMultiLvlLbl val="0"/>
      </c:catAx>
      <c:valAx>
        <c:axId val="37393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788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25201005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23460837.12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9676218"/>
        <c:axId val="41522475"/>
      </c:lineChart>
      <c:catAx>
        <c:axId val="3967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22475"/>
        <c:crosses val="autoZero"/>
        <c:auto val="1"/>
        <c:lblOffset val="100"/>
        <c:tickLblSkip val="1"/>
        <c:noMultiLvlLbl val="0"/>
      </c:catAx>
      <c:valAx>
        <c:axId val="41522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621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203"/>
  <sheetViews>
    <sheetView tabSelected="1" zoomScaleSheetLayoutView="100" zoomScalePageLayoutView="0" workbookViewId="0" topLeftCell="A1">
      <pane xSplit="4" ySplit="9" topLeftCell="O141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6" sqref="S6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1.09765625" style="1" customWidth="1" collapsed="1"/>
    <col min="10" max="17" width="11.09765625" style="1" customWidth="1"/>
  </cols>
  <sheetData>
    <row r="1" spans="2:18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70"/>
    </row>
    <row r="2" spans="2:18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70"/>
    </row>
    <row r="3" spans="2:18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2:18" ht="14.25">
      <c r="B4" s="264" t="s">
        <v>314</v>
      </c>
      <c r="C4" s="278"/>
      <c r="D4" s="75" t="str">
        <f>DaneZrodlowe!B4</f>
        <v>XVI/120/2016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70"/>
    </row>
    <row r="5" spans="2:18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70"/>
    </row>
    <row r="6" spans="2:18" ht="14.25">
      <c r="B6" s="266" t="s">
        <v>16</v>
      </c>
      <c r="D6" s="40" t="str">
        <f>CONCATENATE(DaneZrodlowe!N1," - ",DaneZrodlowe!Q1)</f>
        <v>2016 - 2024</v>
      </c>
      <c r="K6" s="82"/>
      <c r="L6" s="68"/>
      <c r="M6" s="82"/>
      <c r="N6" s="117"/>
      <c r="O6" s="117"/>
      <c r="P6" s="69"/>
      <c r="Q6" s="69"/>
      <c r="R6" s="70"/>
    </row>
    <row r="7" spans="5:18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70"/>
    </row>
    <row r="8" spans="2:18" ht="15.75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69"/>
      <c r="Q8" s="69"/>
      <c r="R8" s="70"/>
    </row>
    <row r="9" spans="1:18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2013</v>
      </c>
      <c r="F9" s="268">
        <f>+G9-1</f>
        <v>2014</v>
      </c>
      <c r="G9" s="268">
        <f>+H9</f>
        <v>2015</v>
      </c>
      <c r="H9" s="269">
        <f>+I9-1</f>
        <v>2015</v>
      </c>
      <c r="I9" s="28">
        <f>+DaneZrodlowe!$N$1</f>
        <v>2016</v>
      </c>
      <c r="J9" s="25">
        <f>+I9+1</f>
        <v>2017</v>
      </c>
      <c r="K9" s="25">
        <f aca="true" t="shared" si="0" ref="K9:Q9">+J9+1</f>
        <v>2018</v>
      </c>
      <c r="L9" s="25">
        <f t="shared" si="0"/>
        <v>2019</v>
      </c>
      <c r="M9" s="25">
        <f t="shared" si="0"/>
        <v>2020</v>
      </c>
      <c r="N9" s="25">
        <f t="shared" si="0"/>
        <v>2021</v>
      </c>
      <c r="O9" s="25">
        <f t="shared" si="0"/>
        <v>2022</v>
      </c>
      <c r="P9" s="25">
        <f t="shared" si="0"/>
        <v>2023</v>
      </c>
      <c r="Q9" s="25">
        <f t="shared" si="0"/>
        <v>2024</v>
      </c>
      <c r="R9" s="26"/>
    </row>
    <row r="10" spans="1:18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21610771.54</f>
        <v>21610771.54</v>
      </c>
      <c r="F10" s="31">
        <f>24064060.56</f>
        <v>24064060.56</v>
      </c>
      <c r="G10" s="31">
        <f>29393385.01</f>
        <v>29393385.01</v>
      </c>
      <c r="H10" s="32">
        <f>27655991.58</f>
        <v>27655991.58</v>
      </c>
      <c r="I10" s="33">
        <f>27734548</f>
        <v>27734548</v>
      </c>
      <c r="J10" s="34">
        <f>25667000</f>
        <v>25667000</v>
      </c>
      <c r="K10" s="34">
        <f>26180000</f>
        <v>26180000</v>
      </c>
      <c r="L10" s="34">
        <f>26704000</f>
        <v>26704000</v>
      </c>
      <c r="M10" s="34">
        <f>27238000</f>
        <v>27238000</v>
      </c>
      <c r="N10" s="34">
        <f>27510000</f>
        <v>27510000</v>
      </c>
      <c r="O10" s="34">
        <f>27786000</f>
        <v>27786000</v>
      </c>
      <c r="P10" s="34">
        <f>28064000</f>
        <v>28064000</v>
      </c>
      <c r="Q10" s="34">
        <f>28345000</f>
        <v>28345000</v>
      </c>
      <c r="R10" s="27"/>
    </row>
    <row r="11" spans="1:17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20002542.85</f>
        <v>20002542.85</v>
      </c>
      <c r="F11" s="35">
        <f>22920414.94</f>
        <v>22920414.94</v>
      </c>
      <c r="G11" s="35">
        <f>23975979.65</f>
        <v>23975979.65</v>
      </c>
      <c r="H11" s="36">
        <f>24917337.83</f>
        <v>24917337.83</v>
      </c>
      <c r="I11" s="37">
        <f>25201005</f>
        <v>25201005</v>
      </c>
      <c r="J11" s="38">
        <f>25667000</f>
        <v>25667000</v>
      </c>
      <c r="K11" s="38">
        <f>26180000</f>
        <v>26180000</v>
      </c>
      <c r="L11" s="38">
        <f>26704000</f>
        <v>26704000</v>
      </c>
      <c r="M11" s="38">
        <f>27238000</f>
        <v>27238000</v>
      </c>
      <c r="N11" s="38">
        <f>27510000</f>
        <v>27510000</v>
      </c>
      <c r="O11" s="38">
        <f>27786000</f>
        <v>27786000</v>
      </c>
      <c r="P11" s="38">
        <f>28064000</f>
        <v>28064000</v>
      </c>
      <c r="Q11" s="38">
        <f>28345000</f>
        <v>28345000</v>
      </c>
    </row>
    <row r="12" spans="2:17" ht="14.25" outlineLevel="3">
      <c r="B12" s="30" t="s">
        <v>37</v>
      </c>
      <c r="C12" s="91" t="s">
        <v>38</v>
      </c>
      <c r="D12" s="215" t="s">
        <v>175</v>
      </c>
      <c r="E12" s="60">
        <f>5229743</f>
        <v>5229743</v>
      </c>
      <c r="F12" s="35">
        <f>6335574</f>
        <v>6335574</v>
      </c>
      <c r="G12" s="35">
        <f>7160433</f>
        <v>7160433</v>
      </c>
      <c r="H12" s="36">
        <f>7222720</f>
        <v>7222720</v>
      </c>
      <c r="I12" s="37">
        <f>8222487</f>
        <v>8222487</v>
      </c>
      <c r="J12" s="38">
        <f>8387000</f>
        <v>8387000</v>
      </c>
      <c r="K12" s="38">
        <f>8554600</f>
        <v>8554600</v>
      </c>
      <c r="L12" s="38">
        <f>8726000</f>
        <v>8726000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39</v>
      </c>
      <c r="C13" s="91" t="s">
        <v>40</v>
      </c>
      <c r="D13" s="215" t="s">
        <v>176</v>
      </c>
      <c r="E13" s="60">
        <f>129067.1</f>
        <v>129067.1</v>
      </c>
      <c r="F13" s="35">
        <f>194099.96</f>
        <v>194099.96</v>
      </c>
      <c r="G13" s="35">
        <f>130000</f>
        <v>130000</v>
      </c>
      <c r="H13" s="36">
        <f>193232</f>
        <v>193232</v>
      </c>
      <c r="I13" s="37">
        <f>130000</f>
        <v>130000</v>
      </c>
      <c r="J13" s="38">
        <f>133000</f>
        <v>133000</v>
      </c>
      <c r="K13" s="38">
        <f>135000</f>
        <v>135000</v>
      </c>
      <c r="L13" s="38">
        <f>138000</f>
        <v>138000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2:17" ht="14.25" outlineLevel="3">
      <c r="B14" s="30" t="s">
        <v>41</v>
      </c>
      <c r="C14" s="91" t="s">
        <v>42</v>
      </c>
      <c r="D14" s="215" t="s">
        <v>440</v>
      </c>
      <c r="E14" s="60">
        <f>4204791.91</f>
        <v>4204791.91</v>
      </c>
      <c r="F14" s="35">
        <f>5084251.06</f>
        <v>5084251.06</v>
      </c>
      <c r="G14" s="35">
        <f>4935550</f>
        <v>4935550</v>
      </c>
      <c r="H14" s="36">
        <f>5219302.98</f>
        <v>5219302.98</v>
      </c>
      <c r="I14" s="37">
        <f>5114562</f>
        <v>5114562</v>
      </c>
      <c r="J14" s="38">
        <f>5217000</f>
        <v>5217000</v>
      </c>
      <c r="K14" s="38">
        <f>5321000</f>
        <v>5321000</v>
      </c>
      <c r="L14" s="38">
        <f>5428000</f>
        <v>5428000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</row>
    <row r="15" spans="2:17" ht="14.25" outlineLevel="4">
      <c r="B15" s="30" t="s">
        <v>43</v>
      </c>
      <c r="C15" s="91" t="s">
        <v>44</v>
      </c>
      <c r="D15" s="216" t="s">
        <v>177</v>
      </c>
      <c r="E15" s="60">
        <f>2355392.56</f>
        <v>2355392.56</v>
      </c>
      <c r="F15" s="35">
        <f>2936834.83</f>
        <v>2936834.83</v>
      </c>
      <c r="G15" s="35">
        <f>2976000</f>
        <v>2976000</v>
      </c>
      <c r="H15" s="36">
        <f>3010040.35</f>
        <v>3010040.35</v>
      </c>
      <c r="I15" s="37">
        <f>2981000</f>
        <v>2981000</v>
      </c>
      <c r="J15" s="38">
        <f>3041000</f>
        <v>3041000</v>
      </c>
      <c r="K15" s="38">
        <f>3101000</f>
        <v>3101000</v>
      </c>
      <c r="L15" s="38">
        <f>3163000</f>
        <v>3163000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</row>
    <row r="16" spans="2:17" ht="14.25" outlineLevel="3">
      <c r="B16" s="30" t="s">
        <v>45</v>
      </c>
      <c r="C16" s="91" t="s">
        <v>46</v>
      </c>
      <c r="D16" s="215" t="s">
        <v>178</v>
      </c>
      <c r="E16" s="60">
        <f>7405983</f>
        <v>7405983</v>
      </c>
      <c r="F16" s="35">
        <f>8235317</f>
        <v>8235317</v>
      </c>
      <c r="G16" s="35">
        <f>8749959</f>
        <v>8749959</v>
      </c>
      <c r="H16" s="36">
        <f>8749959</f>
        <v>8749959</v>
      </c>
      <c r="I16" s="37">
        <f>9413284</f>
        <v>9413284</v>
      </c>
      <c r="J16" s="38">
        <f>9602000</f>
        <v>9602000</v>
      </c>
      <c r="K16" s="38">
        <f>9794000</f>
        <v>9794000</v>
      </c>
      <c r="L16" s="38">
        <f>9989000</f>
        <v>9989000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</row>
    <row r="17" spans="2:17" ht="14.25" outlineLevel="3">
      <c r="B17" s="30" t="s">
        <v>47</v>
      </c>
      <c r="C17" s="91" t="s">
        <v>48</v>
      </c>
      <c r="D17" s="215" t="s">
        <v>179</v>
      </c>
      <c r="E17" s="60">
        <f>2268057.87</f>
        <v>2268057.87</v>
      </c>
      <c r="F17" s="35">
        <f>2691944.63</f>
        <v>2691944.63</v>
      </c>
      <c r="G17" s="35">
        <f>2632294.65</f>
        <v>2632294.65</v>
      </c>
      <c r="H17" s="36">
        <f>3166993.52</f>
        <v>3166993.52</v>
      </c>
      <c r="I17" s="37">
        <f>2102632</f>
        <v>2102632</v>
      </c>
      <c r="J17" s="38">
        <f>2110000</f>
        <v>2110000</v>
      </c>
      <c r="K17" s="38">
        <f>2153000</f>
        <v>2153000</v>
      </c>
      <c r="L17" s="38">
        <f>2196000</f>
        <v>2196000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1:17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1608228.69</f>
        <v>1608228.69</v>
      </c>
      <c r="F18" s="35">
        <f>1143645.62</f>
        <v>1143645.62</v>
      </c>
      <c r="G18" s="35">
        <f>5417405.36</f>
        <v>5417405.36</v>
      </c>
      <c r="H18" s="36">
        <f>2738653.75</f>
        <v>2738653.75</v>
      </c>
      <c r="I18" s="37">
        <f>2533543</f>
        <v>2533543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431581.68</f>
        <v>431581.68</v>
      </c>
      <c r="F19" s="35">
        <f>1074748.04</f>
        <v>1074748.04</v>
      </c>
      <c r="G19" s="35">
        <f>2795280</f>
        <v>2795280</v>
      </c>
      <c r="H19" s="36">
        <f>5928.75</f>
        <v>5928.75</v>
      </c>
      <c r="I19" s="37">
        <f>2235832</f>
        <v>2235832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</row>
    <row r="20" spans="2:17" ht="14.25" outlineLevel="3">
      <c r="B20" s="30" t="s">
        <v>52</v>
      </c>
      <c r="C20" s="91" t="s">
        <v>53</v>
      </c>
      <c r="D20" s="215" t="s">
        <v>180</v>
      </c>
      <c r="E20" s="60">
        <f>1267558.57</f>
        <v>1267558.57</v>
      </c>
      <c r="F20" s="35">
        <f>61451.18</f>
        <v>61451.18</v>
      </c>
      <c r="G20" s="35">
        <f>2614679.36</f>
        <v>2614679.36</v>
      </c>
      <c r="H20" s="36">
        <f>2725278.6</f>
        <v>2725278.6</v>
      </c>
      <c r="I20" s="37">
        <f>21300</f>
        <v>21300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</row>
    <row r="21" spans="1:18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20196084.5</f>
        <v>20196084.5</v>
      </c>
      <c r="F21" s="31">
        <f>23197365.25</f>
        <v>23197365.25</v>
      </c>
      <c r="G21" s="31">
        <f>30312039.01</f>
        <v>30312039.01</v>
      </c>
      <c r="H21" s="32">
        <f>27076099.62</f>
        <v>27076099.62</v>
      </c>
      <c r="I21" s="33">
        <f>26787281.12</f>
        <v>26787281.12</v>
      </c>
      <c r="J21" s="34">
        <f>24670001.12</f>
        <v>24670001.12</v>
      </c>
      <c r="K21" s="34">
        <f>25232620.55</f>
        <v>25232620.55</v>
      </c>
      <c r="L21" s="34">
        <f>25846585.12</f>
        <v>25846585.12</v>
      </c>
      <c r="M21" s="34">
        <f>26574585.12</f>
        <v>26574585.12</v>
      </c>
      <c r="N21" s="34">
        <f>26846585.12</f>
        <v>26846585.12</v>
      </c>
      <c r="O21" s="34">
        <f>27122585.12</f>
        <v>27122585.12</v>
      </c>
      <c r="P21" s="34">
        <f>27478385.12</f>
        <v>27478385.12</v>
      </c>
      <c r="Q21" s="34">
        <f>27791931.24</f>
        <v>27791931.24</v>
      </c>
      <c r="R21" s="27"/>
    </row>
    <row r="22" spans="1:17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18222371.64</f>
        <v>18222371.64</v>
      </c>
      <c r="F22" s="35">
        <f>20586992.47</f>
        <v>20586992.47</v>
      </c>
      <c r="G22" s="35">
        <f>22448220.01</f>
        <v>22448220.01</v>
      </c>
      <c r="H22" s="36">
        <f>21151338.29</f>
        <v>21151338.29</v>
      </c>
      <c r="I22" s="37">
        <f>23460837.12</f>
        <v>23460837.12</v>
      </c>
      <c r="J22" s="38">
        <f>23903000</f>
        <v>23903000</v>
      </c>
      <c r="K22" s="38">
        <f>24380000</f>
        <v>24380000</v>
      </c>
      <c r="L22" s="38">
        <f>24868000</f>
        <v>24868000</v>
      </c>
      <c r="M22" s="38">
        <f>25366000</f>
        <v>25366000</v>
      </c>
      <c r="N22" s="38">
        <f>25619000</f>
        <v>25619000</v>
      </c>
      <c r="O22" s="38">
        <f>25876000</f>
        <v>25876000</v>
      </c>
      <c r="P22" s="38">
        <f>26135000</f>
        <v>26135000</v>
      </c>
      <c r="Q22" s="38">
        <f>26396000</f>
        <v>26396000</v>
      </c>
    </row>
    <row r="23" spans="1:17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</row>
    <row r="24" spans="1:17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</row>
    <row r="25" spans="2:17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</row>
    <row r="26" spans="1:17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296615.41</f>
        <v>296615.41</v>
      </c>
      <c r="F26" s="35">
        <f>244120.23</f>
        <v>244120.23</v>
      </c>
      <c r="G26" s="35">
        <f>315000</f>
        <v>315000</v>
      </c>
      <c r="H26" s="36">
        <f>169843.1</f>
        <v>169843.1</v>
      </c>
      <c r="I26" s="37">
        <f>265000</f>
        <v>265000</v>
      </c>
      <c r="J26" s="38">
        <f>255000</f>
        <v>255000</v>
      </c>
      <c r="K26" s="38">
        <f>244000</f>
        <v>244000</v>
      </c>
      <c r="L26" s="38">
        <f>202000</f>
        <v>202000</v>
      </c>
      <c r="M26" s="38">
        <f>163000</f>
        <v>163000</v>
      </c>
      <c r="N26" s="38">
        <f>130000</f>
        <v>130000</v>
      </c>
      <c r="O26" s="38">
        <f>90000</f>
        <v>90000</v>
      </c>
      <c r="P26" s="38">
        <f>51000</f>
        <v>51000</v>
      </c>
      <c r="Q26" s="38">
        <f>18000</f>
        <v>18000</v>
      </c>
    </row>
    <row r="27" spans="1:17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294615.41</f>
        <v>294615.41</v>
      </c>
      <c r="F27" s="35">
        <f>244120.23</f>
        <v>244120.23</v>
      </c>
      <c r="G27" s="35">
        <f>300000</f>
        <v>300000</v>
      </c>
      <c r="H27" s="36">
        <f>169843.1</f>
        <v>169843.1</v>
      </c>
      <c r="I27" s="37">
        <f>264000</f>
        <v>264000</v>
      </c>
      <c r="J27" s="38">
        <f>255000</f>
        <v>255000</v>
      </c>
      <c r="K27" s="38">
        <f>244000</f>
        <v>244000</v>
      </c>
      <c r="L27" s="38">
        <f>202000</f>
        <v>202000</v>
      </c>
      <c r="M27" s="38">
        <f>163000</f>
        <v>163000</v>
      </c>
      <c r="N27" s="38">
        <f>130000</f>
        <v>130000</v>
      </c>
      <c r="O27" s="38">
        <f>90000</f>
        <v>90000</v>
      </c>
      <c r="P27" s="38">
        <f>51000</f>
        <v>51000</v>
      </c>
      <c r="Q27" s="38">
        <f>18000</f>
        <v>18000</v>
      </c>
    </row>
    <row r="28" spans="1:17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1973712.86</f>
        <v>1973712.86</v>
      </c>
      <c r="F30" s="35">
        <f>2610372.78</f>
        <v>2610372.78</v>
      </c>
      <c r="G30" s="35">
        <f>7863819</f>
        <v>7863819</v>
      </c>
      <c r="H30" s="36">
        <f>5924761.33</f>
        <v>5924761.33</v>
      </c>
      <c r="I30" s="37">
        <f>3326444</f>
        <v>3326444</v>
      </c>
      <c r="J30" s="38">
        <f>767001.12</f>
        <v>767001.12</v>
      </c>
      <c r="K30" s="38">
        <f>852620.55</f>
        <v>852620.55</v>
      </c>
      <c r="L30" s="38">
        <f>978585.12</f>
        <v>978585.12</v>
      </c>
      <c r="M30" s="38">
        <f>1208585.12</f>
        <v>1208585.12</v>
      </c>
      <c r="N30" s="38">
        <f>1227585.12</f>
        <v>1227585.12</v>
      </c>
      <c r="O30" s="38">
        <f>1246585.12</f>
        <v>1246585.12</v>
      </c>
      <c r="P30" s="38">
        <f>1343385.12</f>
        <v>1343385.12</v>
      </c>
      <c r="Q30" s="38">
        <f>1395931.24</f>
        <v>1395931.24</v>
      </c>
    </row>
    <row r="31" spans="1:18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1414687.04</f>
        <v>1414687.04</v>
      </c>
      <c r="F31" s="31">
        <f>866695.31</f>
        <v>866695.31</v>
      </c>
      <c r="G31" s="31">
        <f>-918654</f>
        <v>-918654</v>
      </c>
      <c r="H31" s="32">
        <f>579891.96</f>
        <v>579891.96</v>
      </c>
      <c r="I31" s="33">
        <f>947266.88</f>
        <v>947266.88</v>
      </c>
      <c r="J31" s="34">
        <f>996998.88</f>
        <v>996998.88</v>
      </c>
      <c r="K31" s="34">
        <f>947379.45</f>
        <v>947379.45</v>
      </c>
      <c r="L31" s="34">
        <f>857414.88</f>
        <v>857414.88</v>
      </c>
      <c r="M31" s="34">
        <f>663414.88</f>
        <v>663414.88</v>
      </c>
      <c r="N31" s="34">
        <f>663414.88</f>
        <v>663414.88</v>
      </c>
      <c r="O31" s="34">
        <f>663414.88</f>
        <v>663414.88</v>
      </c>
      <c r="P31" s="34">
        <f>585614.88</f>
        <v>585614.88</v>
      </c>
      <c r="Q31" s="34">
        <f>553068.76</f>
        <v>553068.76</v>
      </c>
      <c r="R31" s="27"/>
    </row>
    <row r="32" spans="1:18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996877.05</f>
        <v>996877.05</v>
      </c>
      <c r="F32" s="31">
        <f>1576429.21</f>
        <v>1576429.21</v>
      </c>
      <c r="G32" s="31">
        <f>1824989</f>
        <v>1824989</v>
      </c>
      <c r="H32" s="32">
        <f>2667987.56</f>
        <v>2667987.56</v>
      </c>
      <c r="I32" s="33">
        <f>0</f>
        <v>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27"/>
    </row>
    <row r="33" spans="1:17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7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</row>
    <row r="35" spans="1:17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315881.05</f>
        <v>315881.05</v>
      </c>
      <c r="F35" s="35">
        <f>1576429.21</f>
        <v>1576429.21</v>
      </c>
      <c r="G35" s="35">
        <f>523789</f>
        <v>523789</v>
      </c>
      <c r="H35" s="36">
        <f>1607989.64</f>
        <v>1607989.64</v>
      </c>
      <c r="I35" s="37">
        <f>0</f>
        <v>0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</row>
    <row r="36" spans="1:17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523789</f>
        <v>523789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500000</f>
        <v>500000</v>
      </c>
      <c r="F37" s="35">
        <f>0</f>
        <v>0</v>
      </c>
      <c r="G37" s="35">
        <f>1301200</f>
        <v>1301200</v>
      </c>
      <c r="H37" s="36">
        <f>1059997.92</f>
        <v>1059997.92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161742</f>
        <v>161742</v>
      </c>
      <c r="F38" s="35">
        <f>0</f>
        <v>0</v>
      </c>
      <c r="G38" s="35">
        <f>394865</f>
        <v>394865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180996</f>
        <v>180996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1:17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835134.88</f>
        <v>835134.88</v>
      </c>
      <c r="F41" s="31">
        <f>835134.88</f>
        <v>835134.88</v>
      </c>
      <c r="G41" s="31">
        <f>906335</f>
        <v>906335</v>
      </c>
      <c r="H41" s="32">
        <f>866334.88</f>
        <v>866334.88</v>
      </c>
      <c r="I41" s="33">
        <f>947266.88</f>
        <v>947266.88</v>
      </c>
      <c r="J41" s="34">
        <f>996998.88</f>
        <v>996998.88</v>
      </c>
      <c r="K41" s="34">
        <f>947379.45</f>
        <v>947379.45</v>
      </c>
      <c r="L41" s="34">
        <f>857414.88</f>
        <v>857414.88</v>
      </c>
      <c r="M41" s="34">
        <f aca="true" t="shared" si="1" ref="M41:O42">663414.88</f>
        <v>663414.88</v>
      </c>
      <c r="N41" s="34">
        <f t="shared" si="1"/>
        <v>663414.88</v>
      </c>
      <c r="O41" s="34">
        <f t="shared" si="1"/>
        <v>663414.88</v>
      </c>
      <c r="P41" s="34">
        <f>585614.88</f>
        <v>585614.88</v>
      </c>
      <c r="Q41" s="34">
        <f>553068.76</f>
        <v>553068.76</v>
      </c>
      <c r="R41" s="27"/>
    </row>
    <row r="42" spans="1:17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835134.88</f>
        <v>835134.88</v>
      </c>
      <c r="F42" s="35">
        <f>835134.88</f>
        <v>835134.88</v>
      </c>
      <c r="G42" s="35">
        <f>906335</f>
        <v>906335</v>
      </c>
      <c r="H42" s="36">
        <f>866334.88</f>
        <v>866334.88</v>
      </c>
      <c r="I42" s="37">
        <f>947266.88</f>
        <v>947266.88</v>
      </c>
      <c r="J42" s="38">
        <f>996998.88</f>
        <v>996998.88</v>
      </c>
      <c r="K42" s="38">
        <f>947379.45</f>
        <v>947379.45</v>
      </c>
      <c r="L42" s="38">
        <f>857414.88</f>
        <v>857414.88</v>
      </c>
      <c r="M42" s="38">
        <f t="shared" si="1"/>
        <v>663414.88</v>
      </c>
      <c r="N42" s="38">
        <f t="shared" si="1"/>
        <v>663414.88</v>
      </c>
      <c r="O42" s="38">
        <f t="shared" si="1"/>
        <v>663414.88</v>
      </c>
      <c r="P42" s="38">
        <f>585614.88</f>
        <v>585614.88</v>
      </c>
      <c r="Q42" s="38">
        <f>553068.76</f>
        <v>553068.76</v>
      </c>
    </row>
    <row r="43" spans="1:17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</row>
    <row r="44" spans="1:17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</row>
    <row r="45" spans="1:17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</row>
    <row r="46" spans="1:17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</row>
    <row r="47" spans="2:17" ht="14.25" outlineLevel="2">
      <c r="B47" s="30" t="s">
        <v>141</v>
      </c>
      <c r="C47" s="91" t="s">
        <v>76</v>
      </c>
      <c r="D47" s="214" t="s">
        <v>76</v>
      </c>
      <c r="E47" s="60">
        <f>0</f>
        <v>0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</row>
    <row r="48" spans="1:18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7519460.21</f>
        <v>7519460.21</v>
      </c>
      <c r="F48" s="31">
        <f>6684325.33</f>
        <v>6684325.33</v>
      </c>
      <c r="G48" s="31">
        <f>7079190.33</f>
        <v>7079190.33</v>
      </c>
      <c r="H48" s="32">
        <f>6877988.37</f>
        <v>6877988.37</v>
      </c>
      <c r="I48" s="33">
        <f>5930721.49</f>
        <v>5930721.49</v>
      </c>
      <c r="J48" s="34">
        <f>4933722.61</f>
        <v>4933722.61</v>
      </c>
      <c r="K48" s="34">
        <f>3986343.16</f>
        <v>3986343.16</v>
      </c>
      <c r="L48" s="34">
        <f>3128928.28</f>
        <v>3128928.28</v>
      </c>
      <c r="M48" s="34">
        <f>2465513.4</f>
        <v>2465513.4</v>
      </c>
      <c r="N48" s="34">
        <f>1802098.52</f>
        <v>1802098.52</v>
      </c>
      <c r="O48" s="34">
        <f>1138683.64</f>
        <v>1138683.64</v>
      </c>
      <c r="P48" s="34">
        <f>553068.76</f>
        <v>553068.76</v>
      </c>
      <c r="Q48" s="34">
        <f>0</f>
        <v>0</v>
      </c>
      <c r="R48" s="27"/>
    </row>
    <row r="49" spans="2:18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27"/>
    </row>
    <row r="50" spans="2:18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27"/>
    </row>
    <row r="51" spans="2:17" ht="14.25" outlineLevel="2">
      <c r="B51" s="30" t="s">
        <v>143</v>
      </c>
      <c r="C51" s="91" t="s">
        <v>78</v>
      </c>
      <c r="D51" s="214" t="s">
        <v>452</v>
      </c>
      <c r="E51" s="60">
        <f>1780171.21</f>
        <v>1780171.21</v>
      </c>
      <c r="F51" s="35">
        <f>2333422.47</f>
        <v>2333422.47</v>
      </c>
      <c r="G51" s="35">
        <f>1527759.64</f>
        <v>1527759.64</v>
      </c>
      <c r="H51" s="36">
        <f>3765999.54</f>
        <v>3765999.54</v>
      </c>
      <c r="I51" s="37">
        <f>1740167.88</f>
        <v>1740167.88</v>
      </c>
      <c r="J51" s="38">
        <f>1764000</f>
        <v>1764000</v>
      </c>
      <c r="K51" s="38">
        <f>1800000</f>
        <v>1800000</v>
      </c>
      <c r="L51" s="38">
        <f>1836000</f>
        <v>1836000</v>
      </c>
      <c r="M51" s="38">
        <f>1872000</f>
        <v>1872000</v>
      </c>
      <c r="N51" s="38">
        <f>1891000</f>
        <v>1891000</v>
      </c>
      <c r="O51" s="38">
        <f>1910000</f>
        <v>1910000</v>
      </c>
      <c r="P51" s="38">
        <f>1929000</f>
        <v>1929000</v>
      </c>
      <c r="Q51" s="38">
        <f>1949000</f>
        <v>1949000</v>
      </c>
    </row>
    <row r="52" spans="2:17" ht="24" outlineLevel="2">
      <c r="B52" s="30" t="s">
        <v>144</v>
      </c>
      <c r="C52" s="91" t="s">
        <v>358</v>
      </c>
      <c r="D52" s="214" t="s">
        <v>451</v>
      </c>
      <c r="E52" s="60">
        <f>2096052.26</f>
        <v>2096052.26</v>
      </c>
      <c r="F52" s="35">
        <f>3909851.68</f>
        <v>3909851.68</v>
      </c>
      <c r="G52" s="35">
        <f>2051548.64</f>
        <v>2051548.64</v>
      </c>
      <c r="H52" s="36">
        <f>5373989.18</f>
        <v>5373989.18</v>
      </c>
      <c r="I52" s="37">
        <f>1740167.88</f>
        <v>1740167.88</v>
      </c>
      <c r="J52" s="38">
        <f>1764000</f>
        <v>1764000</v>
      </c>
      <c r="K52" s="38">
        <f>1800000</f>
        <v>1800000</v>
      </c>
      <c r="L52" s="38">
        <f>1836000</f>
        <v>1836000</v>
      </c>
      <c r="M52" s="38">
        <f>1872000</f>
        <v>1872000</v>
      </c>
      <c r="N52" s="38">
        <f>1891000</f>
        <v>1891000</v>
      </c>
      <c r="O52" s="38">
        <f>1910000</f>
        <v>1910000</v>
      </c>
      <c r="P52" s="38">
        <f>1929000</f>
        <v>1929000</v>
      </c>
      <c r="Q52" s="38">
        <f>1949000</f>
        <v>1949000</v>
      </c>
    </row>
    <row r="53" spans="1:18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27"/>
    </row>
    <row r="54" spans="1:17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0.0523</f>
        <v>0.0523</v>
      </c>
      <c r="F54" s="41">
        <f>0.0448</f>
        <v>0.0448</v>
      </c>
      <c r="G54" s="41">
        <f>0.041</f>
        <v>0.041</v>
      </c>
      <c r="H54" s="42">
        <f>0.0375</f>
        <v>0.0375</v>
      </c>
      <c r="I54" s="43">
        <f>0.0437</f>
        <v>0.0437</v>
      </c>
      <c r="J54" s="44">
        <f>0.0488</f>
        <v>0.0488</v>
      </c>
      <c r="K54" s="44">
        <f>0.0455</f>
        <v>0.0455</v>
      </c>
      <c r="L54" s="44">
        <f>0.0397</f>
        <v>0.0397</v>
      </c>
      <c r="M54" s="44">
        <f>0.0303</f>
        <v>0.0303</v>
      </c>
      <c r="N54" s="44">
        <f>0.0288</f>
        <v>0.0288</v>
      </c>
      <c r="O54" s="44">
        <f>0.0271</f>
        <v>0.0271</v>
      </c>
      <c r="P54" s="44">
        <f>0.0227</f>
        <v>0.0227</v>
      </c>
      <c r="Q54" s="44">
        <f>0.0201</f>
        <v>0.0201</v>
      </c>
    </row>
    <row r="55" spans="1:17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0.0523</f>
        <v>0.0523</v>
      </c>
      <c r="F55" s="41">
        <f>0.0448</f>
        <v>0.0448</v>
      </c>
      <c r="G55" s="41">
        <f>0.041</f>
        <v>0.041</v>
      </c>
      <c r="H55" s="42">
        <f>0.0375</f>
        <v>0.0375</v>
      </c>
      <c r="I55" s="43">
        <f>0.0437</f>
        <v>0.0437</v>
      </c>
      <c r="J55" s="44">
        <f>0.0488</f>
        <v>0.0488</v>
      </c>
      <c r="K55" s="44">
        <f>0.0455</f>
        <v>0.0455</v>
      </c>
      <c r="L55" s="44">
        <f>0.0397</f>
        <v>0.0397</v>
      </c>
      <c r="M55" s="44">
        <f>0.0303</f>
        <v>0.0303</v>
      </c>
      <c r="N55" s="44">
        <f>0.0288</f>
        <v>0.0288</v>
      </c>
      <c r="O55" s="44">
        <f>0.0271</f>
        <v>0.0271</v>
      </c>
      <c r="P55" s="44">
        <f>0.0227</f>
        <v>0.0227</v>
      </c>
      <c r="Q55" s="44">
        <f>0.0201</f>
        <v>0.0201</v>
      </c>
    </row>
    <row r="56" spans="1:17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1974.02</f>
        <v>1974.02</v>
      </c>
      <c r="G56" s="35">
        <f>3360</f>
        <v>3360</v>
      </c>
      <c r="H56" s="36">
        <f>3154.7</f>
        <v>3154.7</v>
      </c>
      <c r="I56" s="37">
        <f>3480.06</f>
        <v>3480.06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</row>
    <row r="57" spans="1:17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0.0523</f>
        <v>0.0523</v>
      </c>
      <c r="F57" s="41">
        <f>0.0449</f>
        <v>0.0449</v>
      </c>
      <c r="G57" s="41">
        <f>0.0412</f>
        <v>0.0412</v>
      </c>
      <c r="H57" s="42">
        <f>0.0376</f>
        <v>0.0376</v>
      </c>
      <c r="I57" s="43">
        <f>0.0438</f>
        <v>0.0438</v>
      </c>
      <c r="J57" s="44">
        <f>0.0488</f>
        <v>0.0488</v>
      </c>
      <c r="K57" s="44">
        <f>0.0455</f>
        <v>0.0455</v>
      </c>
      <c r="L57" s="44">
        <f>0.0397</f>
        <v>0.0397</v>
      </c>
      <c r="M57" s="44">
        <f>0.0303</f>
        <v>0.0303</v>
      </c>
      <c r="N57" s="44">
        <f>0.0288</f>
        <v>0.0288</v>
      </c>
      <c r="O57" s="44">
        <f>0.0271</f>
        <v>0.0271</v>
      </c>
      <c r="P57" s="44">
        <f>0.0227</f>
        <v>0.0227</v>
      </c>
      <c r="Q57" s="44">
        <f>0.0201</f>
        <v>0.0201</v>
      </c>
    </row>
    <row r="58" spans="1:18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Q58">+IF(AND(E9&gt;=2013,E9&lt;=2018),IF(E10&lt;&gt;0,(E11+E19-E22+E25)/E10,0),IF(E10&lt;&gt;0,(E11+E19-E22)/E10,0))</f>
        <v>0.10234492951379379</v>
      </c>
      <c r="F58" s="41">
        <f t="shared" si="2"/>
        <v>0.14162906968681604</v>
      </c>
      <c r="G58" s="41">
        <f t="shared" si="2"/>
        <v>0.14707525650853906</v>
      </c>
      <c r="H58" s="42">
        <f t="shared" si="2"/>
        <v>0.13638738206471493</v>
      </c>
      <c r="I58" s="43">
        <f t="shared" si="2"/>
        <v>0.1433591014355092</v>
      </c>
      <c r="J58" s="44">
        <f t="shared" si="2"/>
        <v>0.06872638017688082</v>
      </c>
      <c r="K58" s="44">
        <f t="shared" si="2"/>
        <v>0.06875477463712758</v>
      </c>
      <c r="L58" s="44">
        <f t="shared" si="2"/>
        <v>0.06875374475733972</v>
      </c>
      <c r="M58" s="44">
        <f t="shared" si="2"/>
        <v>0.06872751303326236</v>
      </c>
      <c r="N58" s="44">
        <f t="shared" si="2"/>
        <v>0.06873864049436569</v>
      </c>
      <c r="O58" s="44">
        <f t="shared" si="2"/>
        <v>0.06873965306269345</v>
      </c>
      <c r="P58" s="44">
        <f t="shared" si="2"/>
        <v>0.06873574686431015</v>
      </c>
      <c r="Q58" s="44">
        <f t="shared" si="2"/>
        <v>0.06875992238490033</v>
      </c>
      <c r="R58" s="53"/>
    </row>
    <row r="59" spans="1:18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0.1303</f>
        <v>0.1303</v>
      </c>
      <c r="J59" s="44">
        <f>0.144</f>
        <v>0.144</v>
      </c>
      <c r="K59" s="44">
        <f>0.1197</f>
        <v>0.1197</v>
      </c>
      <c r="L59" s="44">
        <f>0.0936</f>
        <v>0.0936</v>
      </c>
      <c r="M59" s="44">
        <f>0.0688</f>
        <v>0.0688</v>
      </c>
      <c r="N59" s="44">
        <f>0.0688</f>
        <v>0.0688</v>
      </c>
      <c r="O59" s="44">
        <f aca="true" t="shared" si="3" ref="O59:Q60">0.0687</f>
        <v>0.0687</v>
      </c>
      <c r="P59" s="44">
        <f t="shared" si="3"/>
        <v>0.0687</v>
      </c>
      <c r="Q59" s="44">
        <f t="shared" si="3"/>
        <v>0.0687</v>
      </c>
      <c r="R59" s="53"/>
    </row>
    <row r="60" spans="1:17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0.1268</f>
        <v>0.1268</v>
      </c>
      <c r="J60" s="44">
        <f>0.1405</f>
        <v>0.1405</v>
      </c>
      <c r="K60" s="44">
        <f>0.1162</f>
        <v>0.1162</v>
      </c>
      <c r="L60" s="44">
        <f>0.0936</f>
        <v>0.0936</v>
      </c>
      <c r="M60" s="44">
        <f>0.0688</f>
        <v>0.0688</v>
      </c>
      <c r="N60" s="44">
        <f>0.0688</f>
        <v>0.0688</v>
      </c>
      <c r="O60" s="44">
        <f t="shared" si="3"/>
        <v>0.0687</v>
      </c>
      <c r="P60" s="44">
        <f t="shared" si="3"/>
        <v>0.0687</v>
      </c>
      <c r="Q60" s="44">
        <f t="shared" si="3"/>
        <v>0.0687</v>
      </c>
    </row>
    <row r="61" spans="1:17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Q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</row>
    <row r="62" spans="1:17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Q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</row>
    <row r="63" spans="2:18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947266.88</f>
        <v>947266.88</v>
      </c>
      <c r="J63" s="34">
        <f>996998.88</f>
        <v>996998.88</v>
      </c>
      <c r="K63" s="34">
        <f>947379.45</f>
        <v>947379.45</v>
      </c>
      <c r="L63" s="34">
        <f>857414.88</f>
        <v>857414.88</v>
      </c>
      <c r="M63" s="34">
        <f>663414.88</f>
        <v>663414.88</v>
      </c>
      <c r="N63" s="34">
        <f>663414.88</f>
        <v>663414.88</v>
      </c>
      <c r="O63" s="34">
        <f>663414.88</f>
        <v>663414.88</v>
      </c>
      <c r="P63" s="34">
        <f>585614.88</f>
        <v>585614.88</v>
      </c>
      <c r="Q63" s="34">
        <f>553068.76</f>
        <v>553068.76</v>
      </c>
      <c r="R63" s="27"/>
    </row>
    <row r="64" spans="2:17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947266.88</f>
        <v>947266.88</v>
      </c>
      <c r="J64" s="38">
        <f>996998.88</f>
        <v>996998.88</v>
      </c>
      <c r="K64" s="38">
        <f>947379.45</f>
        <v>947379.45</v>
      </c>
      <c r="L64" s="38">
        <f>857414.88</f>
        <v>857414.88</v>
      </c>
      <c r="M64" s="38">
        <f>663414.88</f>
        <v>663414.88</v>
      </c>
      <c r="N64" s="38">
        <f>663410.88</f>
        <v>663410.88</v>
      </c>
      <c r="O64" s="38">
        <f>663414.88</f>
        <v>663414.88</v>
      </c>
      <c r="P64" s="38">
        <f>585614.88</f>
        <v>585614.88</v>
      </c>
      <c r="Q64" s="38">
        <f>553068.76</f>
        <v>553068.76</v>
      </c>
    </row>
    <row r="65" spans="2:18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27"/>
    </row>
    <row r="66" spans="2:17" ht="14.25" outlineLevel="2">
      <c r="B66" s="30" t="s">
        <v>154</v>
      </c>
      <c r="C66" s="91" t="s">
        <v>84</v>
      </c>
      <c r="D66" s="214" t="s">
        <v>184</v>
      </c>
      <c r="E66" s="60">
        <f>7505361.2</f>
        <v>7505361.2</v>
      </c>
      <c r="F66" s="35">
        <f>8034716.42</f>
        <v>8034716.42</v>
      </c>
      <c r="G66" s="35">
        <f>8776149.03</f>
        <v>8776149.03</v>
      </c>
      <c r="H66" s="36">
        <f>8488679.4</f>
        <v>8488679.4</v>
      </c>
      <c r="I66" s="37">
        <f>9525018</f>
        <v>9525018</v>
      </c>
      <c r="J66" s="38">
        <f>9700000</f>
        <v>9700000</v>
      </c>
      <c r="K66" s="38">
        <f>9894000</f>
        <v>9894000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7" ht="14.25" outlineLevel="2">
      <c r="B67" s="30" t="s">
        <v>155</v>
      </c>
      <c r="C67" s="91" t="s">
        <v>85</v>
      </c>
      <c r="D67" s="214" t="s">
        <v>185</v>
      </c>
      <c r="E67" s="60">
        <f>1729396.38</f>
        <v>1729396.38</v>
      </c>
      <c r="F67" s="35">
        <f>1756657.84</f>
        <v>1756657.84</v>
      </c>
      <c r="G67" s="35">
        <f>1925070</f>
        <v>1925070</v>
      </c>
      <c r="H67" s="36">
        <f>1825082.17</f>
        <v>1825082.17</v>
      </c>
      <c r="I67" s="37">
        <f>2230738</f>
        <v>2230738</v>
      </c>
      <c r="J67" s="38">
        <f>2277000</f>
        <v>2277000</v>
      </c>
      <c r="K67" s="38">
        <f>2323000</f>
        <v>2323000</v>
      </c>
      <c r="L67" s="38">
        <f>0</f>
        <v>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</row>
    <row r="68" spans="2:17" ht="14.25" outlineLevel="2">
      <c r="B68" s="30" t="s">
        <v>156</v>
      </c>
      <c r="C68" s="91" t="s">
        <v>376</v>
      </c>
      <c r="D68" s="214" t="s">
        <v>449</v>
      </c>
      <c r="E68" s="60">
        <f>372811.52</f>
        <v>372811.52</v>
      </c>
      <c r="F68" s="35">
        <f>232825.56</f>
        <v>232825.56</v>
      </c>
      <c r="G68" s="35">
        <f>230332</f>
        <v>230332</v>
      </c>
      <c r="H68" s="36">
        <f>180696.05</f>
        <v>180696.05</v>
      </c>
      <c r="I68" s="37">
        <f>205031</f>
        <v>205031</v>
      </c>
      <c r="J68" s="38">
        <f>400000</f>
        <v>400000</v>
      </c>
      <c r="K68" s="38">
        <f>700000</f>
        <v>700000</v>
      </c>
      <c r="L68" s="38">
        <f>700000</f>
        <v>700000</v>
      </c>
      <c r="M68" s="38">
        <f>600000</f>
        <v>600000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86</v>
      </c>
      <c r="C69" s="91" t="s">
        <v>407</v>
      </c>
      <c r="D69" s="215" t="s">
        <v>186</v>
      </c>
      <c r="E69" s="60">
        <f>304992</f>
        <v>304992</v>
      </c>
      <c r="F69" s="35">
        <f>145439.16</f>
        <v>145439.16</v>
      </c>
      <c r="G69" s="35">
        <f>163332</f>
        <v>163332</v>
      </c>
      <c r="H69" s="36">
        <f>114083</f>
        <v>114083</v>
      </c>
      <c r="I69" s="37">
        <f>147959</f>
        <v>147959</v>
      </c>
      <c r="J69" s="38">
        <f>100000</f>
        <v>100000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14.25" outlineLevel="3">
      <c r="B70" s="30" t="s">
        <v>88</v>
      </c>
      <c r="C70" s="91" t="s">
        <v>408</v>
      </c>
      <c r="D70" s="215" t="s">
        <v>187</v>
      </c>
      <c r="E70" s="60">
        <f>67819.52</f>
        <v>67819.52</v>
      </c>
      <c r="F70" s="35">
        <f>87386.4</f>
        <v>87386.4</v>
      </c>
      <c r="G70" s="35">
        <f>67000</f>
        <v>67000</v>
      </c>
      <c r="H70" s="36">
        <f>66613.05</f>
        <v>66613.05</v>
      </c>
      <c r="I70" s="37">
        <f>57072</f>
        <v>57072</v>
      </c>
      <c r="J70" s="38">
        <f>300000</f>
        <v>300000</v>
      </c>
      <c r="K70" s="38">
        <f>700000</f>
        <v>700000</v>
      </c>
      <c r="L70" s="38">
        <f>700000</f>
        <v>700000</v>
      </c>
      <c r="M70" s="38">
        <f>600000</f>
        <v>600000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14.25" outlineLevel="2">
      <c r="B71" s="30" t="s">
        <v>157</v>
      </c>
      <c r="C71" s="91" t="s">
        <v>90</v>
      </c>
      <c r="D71" s="214" t="s">
        <v>188</v>
      </c>
      <c r="E71" s="60">
        <f>222563.28</f>
        <v>222563.28</v>
      </c>
      <c r="F71" s="35">
        <f>210362.29</f>
        <v>210362.29</v>
      </c>
      <c r="G71" s="35">
        <f>22261</f>
        <v>22261</v>
      </c>
      <c r="H71" s="36">
        <f>12077.36</f>
        <v>12077.36</v>
      </c>
      <c r="I71" s="37">
        <f>11080</f>
        <v>11080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2">
      <c r="B72" s="30" t="s">
        <v>158</v>
      </c>
      <c r="C72" s="91" t="s">
        <v>91</v>
      </c>
      <c r="D72" s="214" t="s">
        <v>189</v>
      </c>
      <c r="E72" s="60">
        <f>1470249.12</f>
        <v>1470249.12</v>
      </c>
      <c r="F72" s="35">
        <f>1909753</f>
        <v>1909753</v>
      </c>
      <c r="G72" s="35">
        <f>5138558</f>
        <v>5138558</v>
      </c>
      <c r="H72" s="36">
        <f>4088240.33</f>
        <v>4088240.33</v>
      </c>
      <c r="I72" s="37">
        <f>1341916</f>
        <v>1341916</v>
      </c>
      <c r="J72" s="38">
        <f>767001.12</f>
        <v>767001.12</v>
      </c>
      <c r="K72" s="38">
        <f>852620.55</f>
        <v>852620.55</v>
      </c>
      <c r="L72" s="38">
        <f>978585.12</f>
        <v>978585.12</v>
      </c>
      <c r="M72" s="38">
        <f>1208585.12</f>
        <v>1208585.12</v>
      </c>
      <c r="N72" s="38">
        <f>1227585.12</f>
        <v>1227585.12</v>
      </c>
      <c r="O72" s="38">
        <f>1246585.12</f>
        <v>1246585.12</v>
      </c>
      <c r="P72" s="38">
        <f>1343385.12</f>
        <v>1343385.12</v>
      </c>
      <c r="Q72" s="38">
        <f>1394939.16</f>
        <v>1394939.16</v>
      </c>
    </row>
    <row r="73" spans="2:17" ht="14.25" outlineLevel="2">
      <c r="B73" s="30" t="s">
        <v>159</v>
      </c>
      <c r="C73" s="91" t="s">
        <v>92</v>
      </c>
      <c r="D73" s="214" t="s">
        <v>190</v>
      </c>
      <c r="E73" s="60">
        <f>291570.24</f>
        <v>291570.24</v>
      </c>
      <c r="F73" s="35">
        <f>402870.84</f>
        <v>402870.84</v>
      </c>
      <c r="G73" s="35">
        <f>2600000</f>
        <v>2600000</v>
      </c>
      <c r="H73" s="36">
        <f>1727203.4</f>
        <v>1727203.4</v>
      </c>
      <c r="I73" s="37">
        <f>1973448</f>
        <v>1973448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8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27"/>
    </row>
    <row r="75" spans="2:17" ht="24" outlineLevel="2">
      <c r="B75" s="30" t="s">
        <v>160</v>
      </c>
      <c r="C75" s="91" t="s">
        <v>94</v>
      </c>
      <c r="D75" s="214" t="s">
        <v>448</v>
      </c>
      <c r="E75" s="60">
        <f>242895.07</f>
        <v>242895.07</v>
      </c>
      <c r="F75" s="35">
        <f>0</f>
        <v>0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14.25" outlineLevel="3">
      <c r="B76" s="30" t="s">
        <v>95</v>
      </c>
      <c r="C76" s="91" t="s">
        <v>96</v>
      </c>
      <c r="D76" s="288" t="s">
        <v>427</v>
      </c>
      <c r="E76" s="60">
        <f>240476.44</f>
        <v>240476.44</v>
      </c>
      <c r="F76" s="35">
        <f>0</f>
        <v>0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4">
      <c r="B77" s="30" t="s">
        <v>97</v>
      </c>
      <c r="C77" s="91" t="s">
        <v>98</v>
      </c>
      <c r="D77" s="287" t="s">
        <v>426</v>
      </c>
      <c r="E77" s="60">
        <f>240476.44</f>
        <v>240476.44</v>
      </c>
      <c r="F77" s="35">
        <f>0</f>
        <v>0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24" outlineLevel="2">
      <c r="B78" s="30" t="s">
        <v>161</v>
      </c>
      <c r="C78" s="91" t="s">
        <v>99</v>
      </c>
      <c r="D78" s="214" t="s">
        <v>447</v>
      </c>
      <c r="E78" s="60">
        <f>1033395.39</f>
        <v>1033395.39</v>
      </c>
      <c r="F78" s="35">
        <f>0</f>
        <v>0</v>
      </c>
      <c r="G78" s="35">
        <f>2580611</f>
        <v>2580611</v>
      </c>
      <c r="H78" s="36">
        <f>2621210.24</f>
        <v>2621210.24</v>
      </c>
      <c r="I78" s="37">
        <f>0</f>
        <v>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14.25" outlineLevel="3">
      <c r="B79" s="30" t="s">
        <v>100</v>
      </c>
      <c r="C79" s="91" t="s">
        <v>101</v>
      </c>
      <c r="D79" s="288" t="s">
        <v>427</v>
      </c>
      <c r="E79" s="60">
        <f>1033395.39</f>
        <v>1033395.39</v>
      </c>
      <c r="F79" s="35">
        <f>0</f>
        <v>0</v>
      </c>
      <c r="G79" s="35">
        <f>2318537</f>
        <v>2318537</v>
      </c>
      <c r="H79" s="36">
        <f>2363748.86</f>
        <v>2363748.86</v>
      </c>
      <c r="I79" s="37">
        <f>0</f>
        <v>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2:17" ht="24" outlineLevel="4">
      <c r="B80" s="30" t="s">
        <v>102</v>
      </c>
      <c r="C80" s="91" t="s">
        <v>103</v>
      </c>
      <c r="D80" s="287" t="s">
        <v>425</v>
      </c>
      <c r="E80" s="60">
        <f>1033395.39</f>
        <v>1033395.39</v>
      </c>
      <c r="F80" s="35">
        <f>0</f>
        <v>0</v>
      </c>
      <c r="G80" s="35">
        <f>2318537</f>
        <v>2318537</v>
      </c>
      <c r="H80" s="36">
        <f>2363748.86</f>
        <v>2363748.86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2:17" ht="24" outlineLevel="2">
      <c r="B81" s="30" t="s">
        <v>162</v>
      </c>
      <c r="C81" s="91" t="s">
        <v>104</v>
      </c>
      <c r="D81" s="214" t="s">
        <v>191</v>
      </c>
      <c r="E81" s="60">
        <f>56716.48</f>
        <v>56716.48</v>
      </c>
      <c r="F81" s="35">
        <f>44749.82</f>
        <v>44749.82</v>
      </c>
      <c r="G81" s="35">
        <f>23500</f>
        <v>23500</v>
      </c>
      <c r="H81" s="36">
        <f>26334.29</f>
        <v>26334.29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2:17" ht="14.25" outlineLevel="3">
      <c r="B82" s="30" t="s">
        <v>105</v>
      </c>
      <c r="C82" s="91" t="s">
        <v>106</v>
      </c>
      <c r="D82" s="288" t="s">
        <v>446</v>
      </c>
      <c r="E82" s="60">
        <f>48657.8</f>
        <v>48657.8</v>
      </c>
      <c r="F82" s="35">
        <f>44749.82</f>
        <v>44749.82</v>
      </c>
      <c r="G82" s="35">
        <f>23500</f>
        <v>23500</v>
      </c>
      <c r="H82" s="36">
        <f>24068.84</f>
        <v>24068.84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2:17" ht="24" outlineLevel="3">
      <c r="B83" s="30" t="s">
        <v>107</v>
      </c>
      <c r="C83" s="91" t="s">
        <v>108</v>
      </c>
      <c r="D83" s="215" t="s">
        <v>192</v>
      </c>
      <c r="E83" s="60">
        <f>48657.8</f>
        <v>48657.8</v>
      </c>
      <c r="F83" s="35">
        <f>44749.82</f>
        <v>44749.82</v>
      </c>
      <c r="G83" s="35">
        <f>23500</f>
        <v>23500</v>
      </c>
      <c r="H83" s="36">
        <f>24068.84</f>
        <v>24068.84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2:17" ht="24" outlineLevel="2">
      <c r="B84" s="30" t="s">
        <v>163</v>
      </c>
      <c r="C84" s="91" t="s">
        <v>109</v>
      </c>
      <c r="D84" s="214" t="s">
        <v>193</v>
      </c>
      <c r="E84" s="60">
        <f>70482.92</f>
        <v>70482.92</v>
      </c>
      <c r="F84" s="35">
        <f>18450</f>
        <v>18450</v>
      </c>
      <c r="G84" s="35">
        <f>3189138</f>
        <v>3189138</v>
      </c>
      <c r="H84" s="36">
        <f>3164118.04</f>
        <v>3164118.04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2:17" ht="14.25" outlineLevel="3">
      <c r="B85" s="30" t="s">
        <v>110</v>
      </c>
      <c r="C85" s="91" t="s">
        <v>111</v>
      </c>
      <c r="D85" s="288" t="s">
        <v>445</v>
      </c>
      <c r="E85" s="60">
        <f>63397.5</f>
        <v>63397.5</v>
      </c>
      <c r="F85" s="35">
        <f>10455</f>
        <v>10455</v>
      </c>
      <c r="G85" s="35">
        <f>2504908</f>
        <v>2504908</v>
      </c>
      <c r="H85" s="36">
        <f>2420241.3</f>
        <v>2420241.3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2:17" ht="24" outlineLevel="3">
      <c r="B86" s="30" t="s">
        <v>112</v>
      </c>
      <c r="C86" s="91" t="s">
        <v>113</v>
      </c>
      <c r="D86" s="215" t="s">
        <v>194</v>
      </c>
      <c r="E86" s="60">
        <f>63397.5</f>
        <v>63397.5</v>
      </c>
      <c r="F86" s="35">
        <f>10455</f>
        <v>10455</v>
      </c>
      <c r="G86" s="35">
        <f>2504908</f>
        <v>2504908</v>
      </c>
      <c r="H86" s="36">
        <f>2420241.3</f>
        <v>2420241.3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7995</f>
        <v>7995</v>
      </c>
      <c r="G87" s="35">
        <f>684230</f>
        <v>684230</v>
      </c>
      <c r="H87" s="36">
        <f>743876.74</f>
        <v>743876.74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1:17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7995</f>
        <v>7995</v>
      </c>
      <c r="G88" s="35">
        <f>684230</f>
        <v>684230</v>
      </c>
      <c r="H88" s="36">
        <f>743876.74</f>
        <v>743876.74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</row>
    <row r="89" spans="1:17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602803.18</f>
        <v>602803.18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1:17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602803.18</f>
        <v>602803.18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1:17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1:17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1:17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1:17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8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27"/>
    </row>
    <row r="96" spans="2:17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</row>
    <row r="97" spans="2:17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</row>
    <row r="98" spans="2:17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2:17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2:17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2:17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2:17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8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27"/>
    </row>
    <row r="104" spans="1:17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835134.88</f>
        <v>835134.88</v>
      </c>
      <c r="F104" s="35">
        <f>835134.88</f>
        <v>835134.88</v>
      </c>
      <c r="G104" s="35">
        <f>866334.88</f>
        <v>866334.88</v>
      </c>
      <c r="H104" s="36">
        <f>866334.88</f>
        <v>866334.88</v>
      </c>
      <c r="I104" s="37">
        <f>947266.88</f>
        <v>947266.88</v>
      </c>
      <c r="J104" s="38">
        <f>996998.88</f>
        <v>996998.88</v>
      </c>
      <c r="K104" s="38">
        <f>947379.45</f>
        <v>947379.45</v>
      </c>
      <c r="L104" s="38">
        <f>857414.88</f>
        <v>857414.88</v>
      </c>
      <c r="M104" s="38">
        <f>663414.88</f>
        <v>663414.88</v>
      </c>
      <c r="N104" s="38">
        <f>663414.88</f>
        <v>663414.88</v>
      </c>
      <c r="O104" s="38">
        <f>663414.88</f>
        <v>663414.88</v>
      </c>
      <c r="P104" s="38">
        <f>585614.88</f>
        <v>585614.88</v>
      </c>
      <c r="Q104" s="38">
        <f>553068.76</f>
        <v>553068.76</v>
      </c>
    </row>
    <row r="105" spans="1:17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</row>
    <row r="106" spans="1:17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</row>
    <row r="108" spans="1:17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</row>
    <row r="109" spans="1:17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</row>
    <row r="110" spans="1:17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</row>
    <row r="111" spans="1:17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</row>
    <row r="112" spans="1:17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</row>
    <row r="113" spans="1:17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</row>
    <row r="114" spans="1:17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</row>
    <row r="115" spans="1:17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</row>
    <row r="116" spans="1:17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6" ref="J116:Q116">+IF(J52&lt;0,J52,"")</f>
      </c>
      <c r="K116" s="342">
        <f t="shared" si="6"/>
      </c>
      <c r="L116" s="342">
        <f t="shared" si="6"/>
      </c>
      <c r="M116" s="342">
        <f t="shared" si="6"/>
      </c>
      <c r="N116" s="342">
        <f t="shared" si="6"/>
      </c>
      <c r="O116" s="342">
        <f t="shared" si="6"/>
      </c>
      <c r="P116" s="342">
        <f t="shared" si="6"/>
      </c>
      <c r="Q116" s="342">
        <f t="shared" si="6"/>
      </c>
    </row>
    <row r="117" spans="1:17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7" ref="J117:Q117">IF(J57&lt;=J59,"",J59-J57)</f>
      </c>
      <c r="K117" s="302">
        <f t="shared" si="7"/>
      </c>
      <c r="L117" s="302">
        <f t="shared" si="7"/>
      </c>
      <c r="M117" s="302">
        <f t="shared" si="7"/>
      </c>
      <c r="N117" s="302">
        <f t="shared" si="7"/>
      </c>
      <c r="O117" s="302">
        <f t="shared" si="7"/>
      </c>
      <c r="P117" s="302">
        <f t="shared" si="7"/>
      </c>
      <c r="Q117" s="302">
        <f t="shared" si="7"/>
      </c>
    </row>
    <row r="118" spans="1:17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8" ref="J118:Q118">IF(J57&lt;=J60,"",J60-J57)</f>
      </c>
      <c r="K118" s="301">
        <f t="shared" si="8"/>
      </c>
      <c r="L118" s="301">
        <f t="shared" si="8"/>
      </c>
      <c r="M118" s="301">
        <f t="shared" si="8"/>
      </c>
      <c r="N118" s="301">
        <f t="shared" si="8"/>
      </c>
      <c r="O118" s="301">
        <f t="shared" si="8"/>
      </c>
      <c r="P118" s="301">
        <f t="shared" si="8"/>
      </c>
      <c r="Q118" s="301">
        <f t="shared" si="8"/>
      </c>
    </row>
    <row r="119" spans="2:18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0"/>
    </row>
    <row r="123" spans="2:18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0"/>
    </row>
    <row r="124" spans="2:18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0"/>
    </row>
    <row r="125" spans="2:18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0"/>
    </row>
    <row r="126" spans="2:18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0"/>
    </row>
    <row r="127" spans="2:18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0"/>
    </row>
    <row r="128" spans="2:18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0"/>
    </row>
    <row r="129" spans="2:18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9" ref="I129:Q129">IF(ROUND(I11+I33+I35,2)&gt;=ROUND(I22-I25,2),"TAK","NIE")</f>
        <v>TAK</v>
      </c>
      <c r="J129" s="198" t="str">
        <f t="shared" si="9"/>
        <v>TAK</v>
      </c>
      <c r="K129" s="198" t="str">
        <f t="shared" si="9"/>
        <v>TAK</v>
      </c>
      <c r="L129" s="198" t="str">
        <f t="shared" si="9"/>
        <v>TAK</v>
      </c>
      <c r="M129" s="198" t="str">
        <f t="shared" si="9"/>
        <v>TAK</v>
      </c>
      <c r="N129" s="198" t="str">
        <f t="shared" si="9"/>
        <v>TAK</v>
      </c>
      <c r="O129" s="198" t="str">
        <f t="shared" si="9"/>
        <v>TAK</v>
      </c>
      <c r="P129" s="198" t="str">
        <f t="shared" si="9"/>
        <v>TAK</v>
      </c>
      <c r="Q129" s="198" t="str">
        <f t="shared" si="9"/>
        <v>TAK</v>
      </c>
      <c r="R129" s="15"/>
    </row>
    <row r="130" spans="2:18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0" ref="K130:Q130">IF(K98=0,"TAK","BŁĄD")</f>
        <v>TAK</v>
      </c>
      <c r="L130" s="196" t="str">
        <f t="shared" si="10"/>
        <v>TAK</v>
      </c>
      <c r="M130" s="196" t="str">
        <f t="shared" si="10"/>
        <v>TAK</v>
      </c>
      <c r="N130" s="196" t="str">
        <f t="shared" si="10"/>
        <v>TAK</v>
      </c>
      <c r="O130" s="196" t="str">
        <f t="shared" si="10"/>
        <v>TAK</v>
      </c>
      <c r="P130" s="196" t="str">
        <f t="shared" si="10"/>
        <v>TAK</v>
      </c>
      <c r="Q130" s="196" t="str">
        <f t="shared" si="10"/>
        <v>TAK</v>
      </c>
      <c r="R130" s="15"/>
    </row>
    <row r="131" spans="2:18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1" ref="I131:Q131">IF(ROUND(I10+I32-I21-I41,2)=0,"OK",ROUND(I10+I32-I21-I41,2))</f>
        <v>OK</v>
      </c>
      <c r="J131" s="209" t="str">
        <f t="shared" si="11"/>
        <v>OK</v>
      </c>
      <c r="K131" s="209" t="str">
        <f t="shared" si="11"/>
        <v>OK</v>
      </c>
      <c r="L131" s="209" t="str">
        <f t="shared" si="11"/>
        <v>OK</v>
      </c>
      <c r="M131" s="209" t="str">
        <f t="shared" si="11"/>
        <v>OK</v>
      </c>
      <c r="N131" s="209" t="str">
        <f t="shared" si="11"/>
        <v>OK</v>
      </c>
      <c r="O131" s="209" t="str">
        <f t="shared" si="11"/>
        <v>OK</v>
      </c>
      <c r="P131" s="209" t="str">
        <f t="shared" si="11"/>
        <v>OK</v>
      </c>
      <c r="Q131" s="209" t="str">
        <f t="shared" si="11"/>
        <v>OK</v>
      </c>
      <c r="R131" s="15"/>
    </row>
    <row r="132" spans="2:18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2" ref="I132:Q132">+IF(ROUND(H48+I37-I42+(I105-H105)+I110-I48,2)=0,"OK",ROUND(H48+I37-I42+(I105-H105)+I110-I48,2))</f>
        <v>OK</v>
      </c>
      <c r="J132" s="209" t="str">
        <f t="shared" si="12"/>
        <v>OK</v>
      </c>
      <c r="K132" s="209" t="str">
        <f t="shared" si="12"/>
        <v>OK</v>
      </c>
      <c r="L132" s="209" t="str">
        <f t="shared" si="12"/>
        <v>OK</v>
      </c>
      <c r="M132" s="209" t="str">
        <f t="shared" si="12"/>
        <v>OK</v>
      </c>
      <c r="N132" s="209" t="str">
        <f t="shared" si="12"/>
        <v>OK</v>
      </c>
      <c r="O132" s="209" t="str">
        <f t="shared" si="12"/>
        <v>OK</v>
      </c>
      <c r="P132" s="209" t="str">
        <f t="shared" si="12"/>
        <v>OK</v>
      </c>
      <c r="Q132" s="209" t="str">
        <f t="shared" si="12"/>
        <v>OK</v>
      </c>
      <c r="R132" s="15"/>
    </row>
    <row r="133" spans="2:18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3" ref="I133:Q133">+IF(H105=0,"N/D",IF(ROUND(I105+I106-H105,2)=0,"OK",ROUND(I105+I106-H105,2)))</f>
        <v>N/D</v>
      </c>
      <c r="J133" s="209" t="str">
        <f t="shared" si="13"/>
        <v>N/D</v>
      </c>
      <c r="K133" s="209" t="str">
        <f t="shared" si="13"/>
        <v>N/D</v>
      </c>
      <c r="L133" s="209" t="str">
        <f t="shared" si="13"/>
        <v>N/D</v>
      </c>
      <c r="M133" s="209" t="str">
        <f t="shared" si="13"/>
        <v>N/D</v>
      </c>
      <c r="N133" s="209" t="str">
        <f t="shared" si="13"/>
        <v>N/D</v>
      </c>
      <c r="O133" s="209" t="str">
        <f t="shared" si="13"/>
        <v>N/D</v>
      </c>
      <c r="P133" s="209" t="str">
        <f t="shared" si="13"/>
        <v>N/D</v>
      </c>
      <c r="Q133" s="209" t="str">
        <f t="shared" si="13"/>
        <v>N/D</v>
      </c>
      <c r="R133" s="15"/>
    </row>
    <row r="134" spans="2:18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4" ref="I134:Q134">+IF(H96=0,"N/D",IF(ROUND(I96+(I98+I99+I100+I101)-H96,2)=0,"OK",ROUND(I96+(I98+I99+I100+I101)-H96,2)))</f>
        <v>N/D</v>
      </c>
      <c r="J134" s="209" t="str">
        <f t="shared" si="14"/>
        <v>N/D</v>
      </c>
      <c r="K134" s="209" t="str">
        <f t="shared" si="14"/>
        <v>N/D</v>
      </c>
      <c r="L134" s="209" t="str">
        <f t="shared" si="14"/>
        <v>N/D</v>
      </c>
      <c r="M134" s="209" t="str">
        <f t="shared" si="14"/>
        <v>N/D</v>
      </c>
      <c r="N134" s="209" t="str">
        <f t="shared" si="14"/>
        <v>N/D</v>
      </c>
      <c r="O134" s="209" t="str">
        <f t="shared" si="14"/>
        <v>N/D</v>
      </c>
      <c r="P134" s="209" t="str">
        <f t="shared" si="14"/>
        <v>N/D</v>
      </c>
      <c r="Q134" s="209" t="str">
        <f t="shared" si="14"/>
        <v>N/D</v>
      </c>
      <c r="R134" s="15"/>
    </row>
    <row r="135" spans="2:18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5" ref="I135:Q135">IF(I31&lt;0,IF(ROUND(I34+I36+I38+I40+I31,2)=0,"OK",ROUND(I34+I36+I38+I40+I31,2)),"N/D")</f>
        <v>N/D</v>
      </c>
      <c r="J135" s="206" t="str">
        <f t="shared" si="15"/>
        <v>N/D</v>
      </c>
      <c r="K135" s="206" t="str">
        <f t="shared" si="15"/>
        <v>N/D</v>
      </c>
      <c r="L135" s="206" t="str">
        <f t="shared" si="15"/>
        <v>N/D</v>
      </c>
      <c r="M135" s="206" t="str">
        <f t="shared" si="15"/>
        <v>N/D</v>
      </c>
      <c r="N135" s="206" t="str">
        <f t="shared" si="15"/>
        <v>N/D</v>
      </c>
      <c r="O135" s="206" t="str">
        <f t="shared" si="15"/>
        <v>N/D</v>
      </c>
      <c r="P135" s="206" t="str">
        <f t="shared" si="15"/>
        <v>N/D</v>
      </c>
      <c r="Q135" s="206" t="str">
        <f t="shared" si="15"/>
        <v>N/D</v>
      </c>
      <c r="R135" s="15"/>
    </row>
    <row r="136" spans="2:18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6" ref="I136:Q136">IF(I31&gt;=0,IF(ROUND(I34+I36+I38+I40,2)=0,"OK",ROUND(I34+I36+I38+I40,2)),"N/D")</f>
        <v>OK</v>
      </c>
      <c r="J136" s="206" t="str">
        <f t="shared" si="16"/>
        <v>OK</v>
      </c>
      <c r="K136" s="206" t="str">
        <f t="shared" si="16"/>
        <v>OK</v>
      </c>
      <c r="L136" s="206" t="str">
        <f t="shared" si="16"/>
        <v>OK</v>
      </c>
      <c r="M136" s="206" t="str">
        <f t="shared" si="16"/>
        <v>OK</v>
      </c>
      <c r="N136" s="206" t="str">
        <f t="shared" si="16"/>
        <v>OK</v>
      </c>
      <c r="O136" s="206" t="str">
        <f t="shared" si="16"/>
        <v>OK</v>
      </c>
      <c r="P136" s="206" t="str">
        <f t="shared" si="16"/>
        <v>OK</v>
      </c>
      <c r="Q136" s="206" t="str">
        <f t="shared" si="16"/>
        <v>OK</v>
      </c>
      <c r="R136" s="15"/>
    </row>
    <row r="137" spans="2:18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7" ref="I137:Q137">IF(I14&gt;=I15,"OK","BŁĄD")</f>
        <v>OK</v>
      </c>
      <c r="J137" s="196" t="str">
        <f t="shared" si="17"/>
        <v>OK</v>
      </c>
      <c r="K137" s="196" t="str">
        <f t="shared" si="17"/>
        <v>OK</v>
      </c>
      <c r="L137" s="196" t="str">
        <f t="shared" si="17"/>
        <v>OK</v>
      </c>
      <c r="M137" s="196" t="str">
        <f t="shared" si="17"/>
        <v>OK</v>
      </c>
      <c r="N137" s="196" t="str">
        <f t="shared" si="17"/>
        <v>OK</v>
      </c>
      <c r="O137" s="196" t="str">
        <f t="shared" si="17"/>
        <v>OK</v>
      </c>
      <c r="P137" s="196" t="str">
        <f t="shared" si="17"/>
        <v>OK</v>
      </c>
      <c r="Q137" s="196" t="str">
        <f t="shared" si="17"/>
        <v>OK</v>
      </c>
      <c r="R137" s="15"/>
    </row>
    <row r="138" spans="2:18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8" ref="I138:Q138">IF(I17&gt;=I97,"OK","BŁĄD")</f>
        <v>OK</v>
      </c>
      <c r="J138" s="196" t="str">
        <f t="shared" si="18"/>
        <v>OK</v>
      </c>
      <c r="K138" s="196" t="str">
        <f t="shared" si="18"/>
        <v>OK</v>
      </c>
      <c r="L138" s="196" t="str">
        <f t="shared" si="18"/>
        <v>OK</v>
      </c>
      <c r="M138" s="196" t="str">
        <f t="shared" si="18"/>
        <v>OK</v>
      </c>
      <c r="N138" s="196" t="str">
        <f t="shared" si="18"/>
        <v>OK</v>
      </c>
      <c r="O138" s="196" t="str">
        <f t="shared" si="18"/>
        <v>OK</v>
      </c>
      <c r="P138" s="196" t="str">
        <f t="shared" si="18"/>
        <v>OK</v>
      </c>
      <c r="Q138" s="196" t="str">
        <f t="shared" si="18"/>
        <v>OK</v>
      </c>
      <c r="R138" s="15"/>
    </row>
    <row r="139" spans="2:18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19" ref="I139:Q139">IF(I11&gt;=I12+I13+I14+I16+I17,"OK","BŁĄD")</f>
        <v>OK</v>
      </c>
      <c r="J139" s="196" t="str">
        <f t="shared" si="19"/>
        <v>OK</v>
      </c>
      <c r="K139" s="196" t="str">
        <f t="shared" si="19"/>
        <v>OK</v>
      </c>
      <c r="L139" s="196" t="str">
        <f t="shared" si="19"/>
        <v>OK</v>
      </c>
      <c r="M139" s="196" t="str">
        <f t="shared" si="19"/>
        <v>OK</v>
      </c>
      <c r="N139" s="196" t="str">
        <f t="shared" si="19"/>
        <v>OK</v>
      </c>
      <c r="O139" s="196" t="str">
        <f t="shared" si="19"/>
        <v>OK</v>
      </c>
      <c r="P139" s="196" t="str">
        <f t="shared" si="19"/>
        <v>OK</v>
      </c>
      <c r="Q139" s="196" t="str">
        <f t="shared" si="19"/>
        <v>OK</v>
      </c>
      <c r="R139" s="15"/>
    </row>
    <row r="140" spans="2:18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0" ref="I140:Q140">IF(I11&gt;=I75,"OK","BŁĄD")</f>
        <v>OK</v>
      </c>
      <c r="J140" s="196" t="str">
        <f t="shared" si="20"/>
        <v>OK</v>
      </c>
      <c r="K140" s="196" t="str">
        <f t="shared" si="20"/>
        <v>OK</v>
      </c>
      <c r="L140" s="196" t="str">
        <f t="shared" si="20"/>
        <v>OK</v>
      </c>
      <c r="M140" s="196" t="str">
        <f t="shared" si="20"/>
        <v>OK</v>
      </c>
      <c r="N140" s="196" t="str">
        <f t="shared" si="20"/>
        <v>OK</v>
      </c>
      <c r="O140" s="196" t="str">
        <f t="shared" si="20"/>
        <v>OK</v>
      </c>
      <c r="P140" s="196" t="str">
        <f t="shared" si="20"/>
        <v>OK</v>
      </c>
      <c r="Q140" s="196" t="str">
        <f t="shared" si="20"/>
        <v>OK</v>
      </c>
      <c r="R140" s="15"/>
    </row>
    <row r="141" spans="2:18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1" ref="I141:Q141">IF(I18&gt;=I19,"OK","BŁĄD")</f>
        <v>OK</v>
      </c>
      <c r="J141" s="196" t="str">
        <f t="shared" si="21"/>
        <v>OK</v>
      </c>
      <c r="K141" s="196" t="str">
        <f t="shared" si="21"/>
        <v>OK</v>
      </c>
      <c r="L141" s="196" t="str">
        <f t="shared" si="21"/>
        <v>OK</v>
      </c>
      <c r="M141" s="196" t="str">
        <f t="shared" si="21"/>
        <v>OK</v>
      </c>
      <c r="N141" s="196" t="str">
        <f t="shared" si="21"/>
        <v>OK</v>
      </c>
      <c r="O141" s="196" t="str">
        <f t="shared" si="21"/>
        <v>OK</v>
      </c>
      <c r="P141" s="196" t="str">
        <f t="shared" si="21"/>
        <v>OK</v>
      </c>
      <c r="Q141" s="196" t="str">
        <f t="shared" si="21"/>
        <v>OK</v>
      </c>
      <c r="R141" s="15"/>
    </row>
    <row r="142" spans="2:18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2" ref="I142:Q142">IF(I18&gt;=I20,"OK","BŁĄD")</f>
        <v>OK</v>
      </c>
      <c r="J142" s="196" t="str">
        <f t="shared" si="22"/>
        <v>OK</v>
      </c>
      <c r="K142" s="196" t="str">
        <f t="shared" si="22"/>
        <v>OK</v>
      </c>
      <c r="L142" s="196" t="str">
        <f t="shared" si="22"/>
        <v>OK</v>
      </c>
      <c r="M142" s="196" t="str">
        <f t="shared" si="22"/>
        <v>OK</v>
      </c>
      <c r="N142" s="196" t="str">
        <f t="shared" si="22"/>
        <v>OK</v>
      </c>
      <c r="O142" s="196" t="str">
        <f t="shared" si="22"/>
        <v>OK</v>
      </c>
      <c r="P142" s="196" t="str">
        <f t="shared" si="22"/>
        <v>OK</v>
      </c>
      <c r="Q142" s="196" t="str">
        <f t="shared" si="22"/>
        <v>OK</v>
      </c>
      <c r="R142" s="15"/>
    </row>
    <row r="143" spans="2:18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3" ref="I143:Q143">IF(I18&gt;=I78,"OK","BŁĄD")</f>
        <v>OK</v>
      </c>
      <c r="J143" s="196" t="str">
        <f t="shared" si="23"/>
        <v>OK</v>
      </c>
      <c r="K143" s="196" t="str">
        <f t="shared" si="23"/>
        <v>OK</v>
      </c>
      <c r="L143" s="196" t="str">
        <f t="shared" si="23"/>
        <v>OK</v>
      </c>
      <c r="M143" s="196" t="str">
        <f t="shared" si="23"/>
        <v>OK</v>
      </c>
      <c r="N143" s="196" t="str">
        <f t="shared" si="23"/>
        <v>OK</v>
      </c>
      <c r="O143" s="196" t="str">
        <f t="shared" si="23"/>
        <v>OK</v>
      </c>
      <c r="P143" s="196" t="str">
        <f t="shared" si="23"/>
        <v>OK</v>
      </c>
      <c r="Q143" s="196" t="str">
        <f t="shared" si="23"/>
        <v>OK</v>
      </c>
      <c r="R143" s="15"/>
    </row>
    <row r="144" spans="1:17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4" ref="I144:Q144">+IF(I31&gt;0,IF(I31=I63,"OK","Błąd"),"N/D")</f>
        <v>OK</v>
      </c>
      <c r="J144" s="203" t="str">
        <f t="shared" si="24"/>
        <v>OK</v>
      </c>
      <c r="K144" s="203" t="str">
        <f t="shared" si="24"/>
        <v>OK</v>
      </c>
      <c r="L144" s="203" t="str">
        <f t="shared" si="24"/>
        <v>OK</v>
      </c>
      <c r="M144" s="203" t="str">
        <f t="shared" si="24"/>
        <v>OK</v>
      </c>
      <c r="N144" s="203" t="str">
        <f t="shared" si="24"/>
        <v>OK</v>
      </c>
      <c r="O144" s="203" t="str">
        <f t="shared" si="24"/>
        <v>OK</v>
      </c>
      <c r="P144" s="203" t="str">
        <f t="shared" si="24"/>
        <v>OK</v>
      </c>
      <c r="Q144" s="203" t="str">
        <f t="shared" si="24"/>
        <v>OK</v>
      </c>
    </row>
    <row r="145" spans="2:18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5" ref="I145:Q145">IF(I63&gt;=I64,"OK","BŁĄD")</f>
        <v>OK</v>
      </c>
      <c r="J145" s="196" t="str">
        <f t="shared" si="25"/>
        <v>OK</v>
      </c>
      <c r="K145" s="196" t="str">
        <f t="shared" si="25"/>
        <v>OK</v>
      </c>
      <c r="L145" s="196" t="str">
        <f t="shared" si="25"/>
        <v>OK</v>
      </c>
      <c r="M145" s="196" t="str">
        <f t="shared" si="25"/>
        <v>OK</v>
      </c>
      <c r="N145" s="196" t="str">
        <f t="shared" si="25"/>
        <v>OK</v>
      </c>
      <c r="O145" s="196" t="str">
        <f t="shared" si="25"/>
        <v>OK</v>
      </c>
      <c r="P145" s="196" t="str">
        <f t="shared" si="25"/>
        <v>OK</v>
      </c>
      <c r="Q145" s="196" t="str">
        <f t="shared" si="25"/>
        <v>OK</v>
      </c>
      <c r="R145" s="15"/>
    </row>
    <row r="146" spans="1:17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6" ref="I146:Q146">IF(I63&gt;0,IF(I64&gt;0,"OK","BŁĄD"),"N/D")</f>
        <v>OK</v>
      </c>
      <c r="J146" s="196" t="str">
        <f t="shared" si="26"/>
        <v>OK</v>
      </c>
      <c r="K146" s="196" t="str">
        <f t="shared" si="26"/>
        <v>OK</v>
      </c>
      <c r="L146" s="196" t="str">
        <f t="shared" si="26"/>
        <v>OK</v>
      </c>
      <c r="M146" s="196" t="str">
        <f t="shared" si="26"/>
        <v>OK</v>
      </c>
      <c r="N146" s="196" t="str">
        <f t="shared" si="26"/>
        <v>OK</v>
      </c>
      <c r="O146" s="196" t="str">
        <f t="shared" si="26"/>
        <v>OK</v>
      </c>
      <c r="P146" s="196" t="str">
        <f t="shared" si="26"/>
        <v>OK</v>
      </c>
      <c r="Q146" s="196" t="str">
        <f t="shared" si="26"/>
        <v>OK</v>
      </c>
    </row>
    <row r="147" spans="2:18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7" ref="I147:Q147">IF(I75&gt;=I76,"OK","BŁĄD")</f>
        <v>OK</v>
      </c>
      <c r="J147" s="196" t="str">
        <f t="shared" si="27"/>
        <v>OK</v>
      </c>
      <c r="K147" s="196" t="str">
        <f t="shared" si="27"/>
        <v>OK</v>
      </c>
      <c r="L147" s="196" t="str">
        <f t="shared" si="27"/>
        <v>OK</v>
      </c>
      <c r="M147" s="196" t="str">
        <f t="shared" si="27"/>
        <v>OK</v>
      </c>
      <c r="N147" s="196" t="str">
        <f t="shared" si="27"/>
        <v>OK</v>
      </c>
      <c r="O147" s="196" t="str">
        <f t="shared" si="27"/>
        <v>OK</v>
      </c>
      <c r="P147" s="196" t="str">
        <f t="shared" si="27"/>
        <v>OK</v>
      </c>
      <c r="Q147" s="196" t="str">
        <f t="shared" si="27"/>
        <v>OK</v>
      </c>
      <c r="R147" s="15"/>
    </row>
    <row r="148" spans="2:18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8" ref="I148:Q148">IF(I76&gt;=I77,"OK","BŁĄD")</f>
        <v>OK</v>
      </c>
      <c r="J148" s="196" t="str">
        <f t="shared" si="28"/>
        <v>OK</v>
      </c>
      <c r="K148" s="196" t="str">
        <f t="shared" si="28"/>
        <v>OK</v>
      </c>
      <c r="L148" s="196" t="str">
        <f t="shared" si="28"/>
        <v>OK</v>
      </c>
      <c r="M148" s="196" t="str">
        <f t="shared" si="28"/>
        <v>OK</v>
      </c>
      <c r="N148" s="196" t="str">
        <f t="shared" si="28"/>
        <v>OK</v>
      </c>
      <c r="O148" s="196" t="str">
        <f t="shared" si="28"/>
        <v>OK</v>
      </c>
      <c r="P148" s="196" t="str">
        <f t="shared" si="28"/>
        <v>OK</v>
      </c>
      <c r="Q148" s="196" t="str">
        <f t="shared" si="28"/>
        <v>OK</v>
      </c>
      <c r="R148" s="15"/>
    </row>
    <row r="149" spans="2:18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29" ref="I149:Q149">IF(I78&gt;=I79,"OK","BŁĄD")</f>
        <v>OK</v>
      </c>
      <c r="J149" s="196" t="str">
        <f t="shared" si="29"/>
        <v>OK</v>
      </c>
      <c r="K149" s="196" t="str">
        <f t="shared" si="29"/>
        <v>OK</v>
      </c>
      <c r="L149" s="196" t="str">
        <f t="shared" si="29"/>
        <v>OK</v>
      </c>
      <c r="M149" s="196" t="str">
        <f t="shared" si="29"/>
        <v>OK</v>
      </c>
      <c r="N149" s="196" t="str">
        <f t="shared" si="29"/>
        <v>OK</v>
      </c>
      <c r="O149" s="196" t="str">
        <f t="shared" si="29"/>
        <v>OK</v>
      </c>
      <c r="P149" s="196" t="str">
        <f t="shared" si="29"/>
        <v>OK</v>
      </c>
      <c r="Q149" s="196" t="str">
        <f t="shared" si="29"/>
        <v>OK</v>
      </c>
      <c r="R149" s="15"/>
    </row>
    <row r="150" spans="2:18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0" ref="I150:Q150">IF(I79&gt;=I80,"OK","BŁĄD")</f>
        <v>OK</v>
      </c>
      <c r="J150" s="196" t="str">
        <f t="shared" si="30"/>
        <v>OK</v>
      </c>
      <c r="K150" s="196" t="str">
        <f t="shared" si="30"/>
        <v>OK</v>
      </c>
      <c r="L150" s="196" t="str">
        <f t="shared" si="30"/>
        <v>OK</v>
      </c>
      <c r="M150" s="196" t="str">
        <f t="shared" si="30"/>
        <v>OK</v>
      </c>
      <c r="N150" s="196" t="str">
        <f t="shared" si="30"/>
        <v>OK</v>
      </c>
      <c r="O150" s="196" t="str">
        <f t="shared" si="30"/>
        <v>OK</v>
      </c>
      <c r="P150" s="196" t="str">
        <f t="shared" si="30"/>
        <v>OK</v>
      </c>
      <c r="Q150" s="196" t="str">
        <f t="shared" si="30"/>
        <v>OK</v>
      </c>
      <c r="R150" s="15"/>
    </row>
    <row r="151" spans="2:18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1" ref="I151:Q151">IF(I81&gt;=I82,"OK","BŁĄD")</f>
        <v>OK</v>
      </c>
      <c r="J151" s="196" t="str">
        <f t="shared" si="31"/>
        <v>OK</v>
      </c>
      <c r="K151" s="196" t="str">
        <f t="shared" si="31"/>
        <v>OK</v>
      </c>
      <c r="L151" s="196" t="str">
        <f t="shared" si="31"/>
        <v>OK</v>
      </c>
      <c r="M151" s="196" t="str">
        <f t="shared" si="31"/>
        <v>OK</v>
      </c>
      <c r="N151" s="196" t="str">
        <f t="shared" si="31"/>
        <v>OK</v>
      </c>
      <c r="O151" s="196" t="str">
        <f t="shared" si="31"/>
        <v>OK</v>
      </c>
      <c r="P151" s="196" t="str">
        <f t="shared" si="31"/>
        <v>OK</v>
      </c>
      <c r="Q151" s="196" t="str">
        <f t="shared" si="31"/>
        <v>OK</v>
      </c>
      <c r="R151" s="15"/>
    </row>
    <row r="152" spans="2:18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2" ref="I152:Q152">IF(I81&gt;=I83,"OK","BŁĄD")</f>
        <v>OK</v>
      </c>
      <c r="J152" s="196" t="str">
        <f t="shared" si="32"/>
        <v>OK</v>
      </c>
      <c r="K152" s="196" t="str">
        <f t="shared" si="32"/>
        <v>OK</v>
      </c>
      <c r="L152" s="196" t="str">
        <f t="shared" si="32"/>
        <v>OK</v>
      </c>
      <c r="M152" s="196" t="str">
        <f t="shared" si="32"/>
        <v>OK</v>
      </c>
      <c r="N152" s="196" t="str">
        <f t="shared" si="32"/>
        <v>OK</v>
      </c>
      <c r="O152" s="196" t="str">
        <f t="shared" si="32"/>
        <v>OK</v>
      </c>
      <c r="P152" s="196" t="str">
        <f t="shared" si="32"/>
        <v>OK</v>
      </c>
      <c r="Q152" s="196" t="str">
        <f t="shared" si="32"/>
        <v>OK</v>
      </c>
      <c r="R152" s="15"/>
    </row>
    <row r="153" spans="2:18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3" ref="I153:Q153">IF(I84&gt;=I85,"OK","BŁĄD")</f>
        <v>OK</v>
      </c>
      <c r="J153" s="196" t="str">
        <f t="shared" si="33"/>
        <v>OK</v>
      </c>
      <c r="K153" s="196" t="str">
        <f t="shared" si="33"/>
        <v>OK</v>
      </c>
      <c r="L153" s="196" t="str">
        <f t="shared" si="33"/>
        <v>OK</v>
      </c>
      <c r="M153" s="196" t="str">
        <f t="shared" si="33"/>
        <v>OK</v>
      </c>
      <c r="N153" s="196" t="str">
        <f t="shared" si="33"/>
        <v>OK</v>
      </c>
      <c r="O153" s="196" t="str">
        <f t="shared" si="33"/>
        <v>OK</v>
      </c>
      <c r="P153" s="196" t="str">
        <f t="shared" si="33"/>
        <v>OK</v>
      </c>
      <c r="Q153" s="196" t="str">
        <f t="shared" si="33"/>
        <v>OK</v>
      </c>
      <c r="R153" s="15"/>
    </row>
    <row r="154" spans="2:18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4" ref="I154:Q154">IF(I84&gt;=I86,"OK","BŁĄD")</f>
        <v>OK</v>
      </c>
      <c r="J154" s="196" t="str">
        <f t="shared" si="34"/>
        <v>OK</v>
      </c>
      <c r="K154" s="196" t="str">
        <f t="shared" si="34"/>
        <v>OK</v>
      </c>
      <c r="L154" s="196" t="str">
        <f t="shared" si="34"/>
        <v>OK</v>
      </c>
      <c r="M154" s="196" t="str">
        <f t="shared" si="34"/>
        <v>OK</v>
      </c>
      <c r="N154" s="196" t="str">
        <f t="shared" si="34"/>
        <v>OK</v>
      </c>
      <c r="O154" s="196" t="str">
        <f t="shared" si="34"/>
        <v>OK</v>
      </c>
      <c r="P154" s="196" t="str">
        <f t="shared" si="34"/>
        <v>OK</v>
      </c>
      <c r="Q154" s="196" t="str">
        <f t="shared" si="34"/>
        <v>OK</v>
      </c>
      <c r="R154" s="15"/>
    </row>
    <row r="155" spans="1:17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5" ref="J155:Q155">IF(J87&gt;=J88,"OK","BŁĄD")</f>
        <v>OK</v>
      </c>
      <c r="K155" s="196" t="str">
        <f t="shared" si="35"/>
        <v>OK</v>
      </c>
      <c r="L155" s="196" t="str">
        <f t="shared" si="35"/>
        <v>OK</v>
      </c>
      <c r="M155" s="196" t="str">
        <f t="shared" si="35"/>
        <v>OK</v>
      </c>
      <c r="N155" s="196" t="str">
        <f t="shared" si="35"/>
        <v>OK</v>
      </c>
      <c r="O155" s="196" t="str">
        <f t="shared" si="35"/>
        <v>OK</v>
      </c>
      <c r="P155" s="196" t="str">
        <f t="shared" si="35"/>
        <v>OK</v>
      </c>
      <c r="Q155" s="196" t="str">
        <f t="shared" si="35"/>
        <v>OK</v>
      </c>
    </row>
    <row r="156" spans="1:17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6" ref="J156:Q156">IF(J89&gt;=J90,"OK","BŁĄD")</f>
        <v>OK</v>
      </c>
      <c r="K156" s="196" t="str">
        <f t="shared" si="36"/>
        <v>OK</v>
      </c>
      <c r="L156" s="196" t="str">
        <f t="shared" si="36"/>
        <v>OK</v>
      </c>
      <c r="M156" s="196" t="str">
        <f t="shared" si="36"/>
        <v>OK</v>
      </c>
      <c r="N156" s="196" t="str">
        <f t="shared" si="36"/>
        <v>OK</v>
      </c>
      <c r="O156" s="196" t="str">
        <f t="shared" si="36"/>
        <v>OK</v>
      </c>
      <c r="P156" s="196" t="str">
        <f t="shared" si="36"/>
        <v>OK</v>
      </c>
      <c r="Q156" s="196" t="str">
        <f t="shared" si="36"/>
        <v>OK</v>
      </c>
    </row>
    <row r="157" spans="1:17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7" ref="J157:Q157">IF(J91&gt;=J92,"OK","BŁĄD")</f>
        <v>OK</v>
      </c>
      <c r="K157" s="196" t="str">
        <f t="shared" si="37"/>
        <v>OK</v>
      </c>
      <c r="L157" s="196" t="str">
        <f t="shared" si="37"/>
        <v>OK</v>
      </c>
      <c r="M157" s="196" t="str">
        <f t="shared" si="37"/>
        <v>OK</v>
      </c>
      <c r="N157" s="196" t="str">
        <f t="shared" si="37"/>
        <v>OK</v>
      </c>
      <c r="O157" s="196" t="str">
        <f t="shared" si="37"/>
        <v>OK</v>
      </c>
      <c r="P157" s="196" t="str">
        <f t="shared" si="37"/>
        <v>OK</v>
      </c>
      <c r="Q157" s="196" t="str">
        <f t="shared" si="37"/>
        <v>OK</v>
      </c>
    </row>
    <row r="158" spans="1:17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8" ref="J158:Q158">IF(J93&gt;=J94,"OK","BŁĄD")</f>
        <v>OK</v>
      </c>
      <c r="K158" s="196" t="str">
        <f t="shared" si="38"/>
        <v>OK</v>
      </c>
      <c r="L158" s="196" t="str">
        <f t="shared" si="38"/>
        <v>OK</v>
      </c>
      <c r="M158" s="196" t="str">
        <f t="shared" si="38"/>
        <v>OK</v>
      </c>
      <c r="N158" s="196" t="str">
        <f t="shared" si="38"/>
        <v>OK</v>
      </c>
      <c r="O158" s="196" t="str">
        <f t="shared" si="38"/>
        <v>OK</v>
      </c>
      <c r="P158" s="196" t="str">
        <f t="shared" si="38"/>
        <v>OK</v>
      </c>
      <c r="Q158" s="196" t="str">
        <f t="shared" si="38"/>
        <v>OK</v>
      </c>
    </row>
    <row r="159" spans="2:18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39" ref="I159:Q159">IF(I96&gt;=I98,"OK","BŁĄD")</f>
        <v>OK</v>
      </c>
      <c r="J159" s="196" t="str">
        <f t="shared" si="39"/>
        <v>OK</v>
      </c>
      <c r="K159" s="196" t="str">
        <f t="shared" si="39"/>
        <v>OK</v>
      </c>
      <c r="L159" s="196" t="str">
        <f t="shared" si="39"/>
        <v>OK</v>
      </c>
      <c r="M159" s="196" t="str">
        <f t="shared" si="39"/>
        <v>OK</v>
      </c>
      <c r="N159" s="196" t="str">
        <f t="shared" si="39"/>
        <v>OK</v>
      </c>
      <c r="O159" s="196" t="str">
        <f t="shared" si="39"/>
        <v>OK</v>
      </c>
      <c r="P159" s="196" t="str">
        <f t="shared" si="39"/>
        <v>OK</v>
      </c>
      <c r="Q159" s="196" t="str">
        <f t="shared" si="39"/>
        <v>OK</v>
      </c>
      <c r="R159" s="15"/>
    </row>
    <row r="160" spans="2:18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0" ref="I160:Q160">IF(I99&gt;=I25,"OK","BŁĄD")</f>
        <v>OK</v>
      </c>
      <c r="J160" s="196" t="str">
        <f t="shared" si="40"/>
        <v>OK</v>
      </c>
      <c r="K160" s="196" t="str">
        <f t="shared" si="40"/>
        <v>OK</v>
      </c>
      <c r="L160" s="196" t="str">
        <f t="shared" si="40"/>
        <v>OK</v>
      </c>
      <c r="M160" s="196" t="str">
        <f t="shared" si="40"/>
        <v>OK</v>
      </c>
      <c r="N160" s="196" t="str">
        <f t="shared" si="40"/>
        <v>OK</v>
      </c>
      <c r="O160" s="196" t="str">
        <f t="shared" si="40"/>
        <v>OK</v>
      </c>
      <c r="P160" s="196" t="str">
        <f t="shared" si="40"/>
        <v>OK</v>
      </c>
      <c r="Q160" s="196" t="str">
        <f t="shared" si="40"/>
        <v>OK</v>
      </c>
      <c r="R160" s="15"/>
    </row>
    <row r="161" spans="2:18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1" ref="I161:Q161">IF(I106&gt;=(I107+I108+I109),"OK","BŁĄD")</f>
        <v>OK</v>
      </c>
      <c r="J161" s="196" t="str">
        <f t="shared" si="41"/>
        <v>OK</v>
      </c>
      <c r="K161" s="196" t="str">
        <f t="shared" si="41"/>
        <v>OK</v>
      </c>
      <c r="L161" s="196" t="str">
        <f t="shared" si="41"/>
        <v>OK</v>
      </c>
      <c r="M161" s="196" t="str">
        <f t="shared" si="41"/>
        <v>OK</v>
      </c>
      <c r="N161" s="196" t="str">
        <f t="shared" si="41"/>
        <v>OK</v>
      </c>
      <c r="O161" s="196" t="str">
        <f t="shared" si="41"/>
        <v>OK</v>
      </c>
      <c r="P161" s="196" t="str">
        <f t="shared" si="41"/>
        <v>OK</v>
      </c>
      <c r="Q161" s="196" t="str">
        <f t="shared" si="41"/>
        <v>OK</v>
      </c>
      <c r="R161" s="15"/>
    </row>
    <row r="162" spans="1:17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2" ref="J162:Q162">IF(J112&gt;=J113,"OK","BŁĄD")</f>
        <v>OK</v>
      </c>
      <c r="K162" s="196" t="str">
        <f t="shared" si="42"/>
        <v>OK</v>
      </c>
      <c r="L162" s="196" t="str">
        <f t="shared" si="42"/>
        <v>OK</v>
      </c>
      <c r="M162" s="196" t="str">
        <f t="shared" si="42"/>
        <v>OK</v>
      </c>
      <c r="N162" s="196" t="str">
        <f t="shared" si="42"/>
        <v>OK</v>
      </c>
      <c r="O162" s="196" t="str">
        <f t="shared" si="42"/>
        <v>OK</v>
      </c>
      <c r="P162" s="196" t="str">
        <f t="shared" si="42"/>
        <v>OK</v>
      </c>
      <c r="Q162" s="196" t="str">
        <f t="shared" si="42"/>
        <v>OK</v>
      </c>
    </row>
    <row r="163" spans="2:18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3" ref="I163:Q163">IF(I23&gt;=I24,"OK","BŁĄD")</f>
        <v>OK</v>
      </c>
      <c r="J163" s="196" t="str">
        <f t="shared" si="43"/>
        <v>OK</v>
      </c>
      <c r="K163" s="196" t="str">
        <f t="shared" si="43"/>
        <v>OK</v>
      </c>
      <c r="L163" s="196" t="str">
        <f t="shared" si="43"/>
        <v>OK</v>
      </c>
      <c r="M163" s="196" t="str">
        <f t="shared" si="43"/>
        <v>OK</v>
      </c>
      <c r="N163" s="196" t="str">
        <f t="shared" si="43"/>
        <v>OK</v>
      </c>
      <c r="O163" s="196" t="str">
        <f t="shared" si="43"/>
        <v>OK</v>
      </c>
      <c r="P163" s="196" t="str">
        <f t="shared" si="43"/>
        <v>OK</v>
      </c>
      <c r="Q163" s="196" t="str">
        <f t="shared" si="43"/>
        <v>OK</v>
      </c>
      <c r="R163" s="15"/>
    </row>
    <row r="164" spans="2:18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4" ref="I164:Q164">IF(I23&gt;=I109,"OK","BŁĄD")</f>
        <v>OK</v>
      </c>
      <c r="J164" s="196" t="str">
        <f t="shared" si="44"/>
        <v>OK</v>
      </c>
      <c r="K164" s="196" t="str">
        <f t="shared" si="44"/>
        <v>OK</v>
      </c>
      <c r="L164" s="196" t="str">
        <f t="shared" si="44"/>
        <v>OK</v>
      </c>
      <c r="M164" s="196" t="str">
        <f t="shared" si="44"/>
        <v>OK</v>
      </c>
      <c r="N164" s="196" t="str">
        <f t="shared" si="44"/>
        <v>OK</v>
      </c>
      <c r="O164" s="196" t="str">
        <f t="shared" si="44"/>
        <v>OK</v>
      </c>
      <c r="P164" s="196" t="str">
        <f t="shared" si="44"/>
        <v>OK</v>
      </c>
      <c r="Q164" s="196" t="str">
        <f t="shared" si="44"/>
        <v>OK</v>
      </c>
      <c r="R164" s="15"/>
    </row>
    <row r="165" spans="2:18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5" ref="I165:Q165">IF(I26&gt;=I27,"OK","BŁĄD")</f>
        <v>OK</v>
      </c>
      <c r="J165" s="196" t="str">
        <f t="shared" si="45"/>
        <v>OK</v>
      </c>
      <c r="K165" s="196" t="str">
        <f t="shared" si="45"/>
        <v>OK</v>
      </c>
      <c r="L165" s="196" t="str">
        <f t="shared" si="45"/>
        <v>OK</v>
      </c>
      <c r="M165" s="196" t="str">
        <f t="shared" si="45"/>
        <v>OK</v>
      </c>
      <c r="N165" s="196" t="str">
        <f t="shared" si="45"/>
        <v>OK</v>
      </c>
      <c r="O165" s="196" t="str">
        <f t="shared" si="45"/>
        <v>OK</v>
      </c>
      <c r="P165" s="196" t="str">
        <f t="shared" si="45"/>
        <v>OK</v>
      </c>
      <c r="Q165" s="196" t="str">
        <f t="shared" si="45"/>
        <v>OK</v>
      </c>
      <c r="R165" s="15"/>
    </row>
    <row r="166" spans="1:17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6" ref="J166:Q166">IF(J27&gt;=J28,"OK","BŁĄD")</f>
        <v>OK</v>
      </c>
      <c r="K166" s="196" t="str">
        <f t="shared" si="46"/>
        <v>OK</v>
      </c>
      <c r="L166" s="196" t="str">
        <f t="shared" si="46"/>
        <v>OK</v>
      </c>
      <c r="M166" s="196" t="str">
        <f t="shared" si="46"/>
        <v>OK</v>
      </c>
      <c r="N166" s="196" t="str">
        <f t="shared" si="46"/>
        <v>OK</v>
      </c>
      <c r="O166" s="196" t="str">
        <f t="shared" si="46"/>
        <v>OK</v>
      </c>
      <c r="P166" s="196" t="str">
        <f t="shared" si="46"/>
        <v>OK</v>
      </c>
      <c r="Q166" s="196" t="str">
        <f t="shared" si="46"/>
        <v>OK</v>
      </c>
    </row>
    <row r="167" spans="2:18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7" ref="I167:Q167">IF(I22&gt;=(I23+I25+I26),"OK","BŁĄD")</f>
        <v>OK</v>
      </c>
      <c r="J167" s="196" t="str">
        <f t="shared" si="47"/>
        <v>OK</v>
      </c>
      <c r="K167" s="196" t="str">
        <f t="shared" si="47"/>
        <v>OK</v>
      </c>
      <c r="L167" s="196" t="str">
        <f t="shared" si="47"/>
        <v>OK</v>
      </c>
      <c r="M167" s="196" t="str">
        <f t="shared" si="47"/>
        <v>OK</v>
      </c>
      <c r="N167" s="196" t="str">
        <f t="shared" si="47"/>
        <v>OK</v>
      </c>
      <c r="O167" s="196" t="str">
        <f t="shared" si="47"/>
        <v>OK</v>
      </c>
      <c r="P167" s="196" t="str">
        <f t="shared" si="47"/>
        <v>OK</v>
      </c>
      <c r="Q167" s="196" t="str">
        <f t="shared" si="47"/>
        <v>OK</v>
      </c>
      <c r="R167" s="15"/>
    </row>
    <row r="168" spans="2:18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8" ref="I168:Q168">IF(I22&gt;=I66,"OK","BŁĄD")</f>
        <v>OK</v>
      </c>
      <c r="J168" s="196" t="str">
        <f t="shared" si="48"/>
        <v>OK</v>
      </c>
      <c r="K168" s="196" t="str">
        <f t="shared" si="48"/>
        <v>OK</v>
      </c>
      <c r="L168" s="196" t="str">
        <f t="shared" si="48"/>
        <v>OK</v>
      </c>
      <c r="M168" s="196" t="str">
        <f t="shared" si="48"/>
        <v>OK</v>
      </c>
      <c r="N168" s="196" t="str">
        <f t="shared" si="48"/>
        <v>OK</v>
      </c>
      <c r="O168" s="196" t="str">
        <f t="shared" si="48"/>
        <v>OK</v>
      </c>
      <c r="P168" s="196" t="str">
        <f t="shared" si="48"/>
        <v>OK</v>
      </c>
      <c r="Q168" s="196" t="str">
        <f t="shared" si="48"/>
        <v>OK</v>
      </c>
      <c r="R168" s="15"/>
    </row>
    <row r="169" spans="2:18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49" ref="I169:Q169">IF(I22&gt;=I69,"OK","BŁĄD")</f>
        <v>OK</v>
      </c>
      <c r="J169" s="196" t="str">
        <f t="shared" si="49"/>
        <v>OK</v>
      </c>
      <c r="K169" s="196" t="str">
        <f t="shared" si="49"/>
        <v>OK</v>
      </c>
      <c r="L169" s="196" t="str">
        <f t="shared" si="49"/>
        <v>OK</v>
      </c>
      <c r="M169" s="196" t="str">
        <f t="shared" si="49"/>
        <v>OK</v>
      </c>
      <c r="N169" s="196" t="str">
        <f t="shared" si="49"/>
        <v>OK</v>
      </c>
      <c r="O169" s="196" t="str">
        <f t="shared" si="49"/>
        <v>OK</v>
      </c>
      <c r="P169" s="196" t="str">
        <f t="shared" si="49"/>
        <v>OK</v>
      </c>
      <c r="Q169" s="196" t="str">
        <f t="shared" si="49"/>
        <v>OK</v>
      </c>
      <c r="R169" s="15"/>
    </row>
    <row r="170" spans="2:18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0" ref="I170:Q170">IF(I22&gt;=I81,"OK","BŁĄD")</f>
        <v>OK</v>
      </c>
      <c r="J170" s="196" t="str">
        <f t="shared" si="50"/>
        <v>OK</v>
      </c>
      <c r="K170" s="196" t="str">
        <f t="shared" si="50"/>
        <v>OK</v>
      </c>
      <c r="L170" s="196" t="str">
        <f t="shared" si="50"/>
        <v>OK</v>
      </c>
      <c r="M170" s="196" t="str">
        <f t="shared" si="50"/>
        <v>OK</v>
      </c>
      <c r="N170" s="196" t="str">
        <f t="shared" si="50"/>
        <v>OK</v>
      </c>
      <c r="O170" s="196" t="str">
        <f t="shared" si="50"/>
        <v>OK</v>
      </c>
      <c r="P170" s="196" t="str">
        <f t="shared" si="50"/>
        <v>OK</v>
      </c>
      <c r="Q170" s="196" t="str">
        <f t="shared" si="50"/>
        <v>OK</v>
      </c>
      <c r="R170" s="15"/>
    </row>
    <row r="171" spans="2:18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1" ref="I171:Q171">IF(I22&gt;=I102,"OK","BŁĄD")</f>
        <v>OK</v>
      </c>
      <c r="J171" s="196" t="str">
        <f t="shared" si="51"/>
        <v>OK</v>
      </c>
      <c r="K171" s="196" t="str">
        <f t="shared" si="51"/>
        <v>OK</v>
      </c>
      <c r="L171" s="196" t="str">
        <f t="shared" si="51"/>
        <v>OK</v>
      </c>
      <c r="M171" s="196" t="str">
        <f t="shared" si="51"/>
        <v>OK</v>
      </c>
      <c r="N171" s="196" t="str">
        <f t="shared" si="51"/>
        <v>OK</v>
      </c>
      <c r="O171" s="196" t="str">
        <f t="shared" si="51"/>
        <v>OK</v>
      </c>
      <c r="P171" s="196" t="str">
        <f t="shared" si="51"/>
        <v>OK</v>
      </c>
      <c r="Q171" s="196" t="str">
        <f t="shared" si="51"/>
        <v>OK</v>
      </c>
      <c r="R171" s="15"/>
    </row>
    <row r="172" spans="2:18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2" ref="I172:Q172">IF(I30&gt;=I70,"OK","BŁĄD")</f>
        <v>OK</v>
      </c>
      <c r="J172" s="196" t="str">
        <f t="shared" si="52"/>
        <v>OK</v>
      </c>
      <c r="K172" s="196" t="str">
        <f t="shared" si="52"/>
        <v>OK</v>
      </c>
      <c r="L172" s="196" t="str">
        <f t="shared" si="52"/>
        <v>OK</v>
      </c>
      <c r="M172" s="196" t="str">
        <f t="shared" si="52"/>
        <v>OK</v>
      </c>
      <c r="N172" s="196" t="str">
        <f t="shared" si="52"/>
        <v>OK</v>
      </c>
      <c r="O172" s="196" t="str">
        <f t="shared" si="52"/>
        <v>OK</v>
      </c>
      <c r="P172" s="196" t="str">
        <f t="shared" si="52"/>
        <v>OK</v>
      </c>
      <c r="Q172" s="196" t="str">
        <f t="shared" si="52"/>
        <v>OK</v>
      </c>
      <c r="R172" s="15"/>
    </row>
    <row r="173" spans="2:18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3" ref="I173:Q173">IF(I30&gt;=I71+I72,"OK","BŁĄD")</f>
        <v>OK</v>
      </c>
      <c r="J173" s="196" t="str">
        <f t="shared" si="53"/>
        <v>OK</v>
      </c>
      <c r="K173" s="196" t="str">
        <f t="shared" si="53"/>
        <v>OK</v>
      </c>
      <c r="L173" s="196" t="str">
        <f t="shared" si="53"/>
        <v>OK</v>
      </c>
      <c r="M173" s="196" t="str">
        <f t="shared" si="53"/>
        <v>OK</v>
      </c>
      <c r="N173" s="196" t="str">
        <f t="shared" si="53"/>
        <v>OK</v>
      </c>
      <c r="O173" s="196" t="str">
        <f t="shared" si="53"/>
        <v>OK</v>
      </c>
      <c r="P173" s="196" t="str">
        <f t="shared" si="53"/>
        <v>OK</v>
      </c>
      <c r="Q173" s="196" t="str">
        <f t="shared" si="53"/>
        <v>OK</v>
      </c>
      <c r="R173" s="15"/>
    </row>
    <row r="174" spans="2:18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4" ref="I174:Q174">IF(I30&gt;=I73,"OK","BŁĄD")</f>
        <v>OK</v>
      </c>
      <c r="J174" s="196" t="str">
        <f t="shared" si="54"/>
        <v>OK</v>
      </c>
      <c r="K174" s="196" t="str">
        <f t="shared" si="54"/>
        <v>OK</v>
      </c>
      <c r="L174" s="196" t="str">
        <f t="shared" si="54"/>
        <v>OK</v>
      </c>
      <c r="M174" s="196" t="str">
        <f t="shared" si="54"/>
        <v>OK</v>
      </c>
      <c r="N174" s="196" t="str">
        <f t="shared" si="54"/>
        <v>OK</v>
      </c>
      <c r="O174" s="196" t="str">
        <f t="shared" si="54"/>
        <v>OK</v>
      </c>
      <c r="P174" s="196" t="str">
        <f t="shared" si="54"/>
        <v>OK</v>
      </c>
      <c r="Q174" s="196" t="str">
        <f t="shared" si="54"/>
        <v>OK</v>
      </c>
      <c r="R174" s="15"/>
    </row>
    <row r="175" spans="2:18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5" ref="I175:Q175">IF(I30&gt;=I84,"OK","BŁĄD")</f>
        <v>OK</v>
      </c>
      <c r="J175" s="196" t="str">
        <f t="shared" si="55"/>
        <v>OK</v>
      </c>
      <c r="K175" s="196" t="str">
        <f t="shared" si="55"/>
        <v>OK</v>
      </c>
      <c r="L175" s="196" t="str">
        <f t="shared" si="55"/>
        <v>OK</v>
      </c>
      <c r="M175" s="196" t="str">
        <f t="shared" si="55"/>
        <v>OK</v>
      </c>
      <c r="N175" s="196" t="str">
        <f t="shared" si="55"/>
        <v>OK</v>
      </c>
      <c r="O175" s="196" t="str">
        <f t="shared" si="55"/>
        <v>OK</v>
      </c>
      <c r="P175" s="196" t="str">
        <f t="shared" si="55"/>
        <v>OK</v>
      </c>
      <c r="Q175" s="196" t="str">
        <f t="shared" si="55"/>
        <v>OK</v>
      </c>
      <c r="R175" s="15"/>
    </row>
    <row r="176" spans="2:18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6" ref="I176:Q176">IF(I33&gt;=I34,"OK","BŁĄD")</f>
        <v>OK</v>
      </c>
      <c r="J176" s="196" t="str">
        <f t="shared" si="56"/>
        <v>OK</v>
      </c>
      <c r="K176" s="196" t="str">
        <f t="shared" si="56"/>
        <v>OK</v>
      </c>
      <c r="L176" s="196" t="str">
        <f t="shared" si="56"/>
        <v>OK</v>
      </c>
      <c r="M176" s="196" t="str">
        <f t="shared" si="56"/>
        <v>OK</v>
      </c>
      <c r="N176" s="196" t="str">
        <f t="shared" si="56"/>
        <v>OK</v>
      </c>
      <c r="O176" s="196" t="str">
        <f t="shared" si="56"/>
        <v>OK</v>
      </c>
      <c r="P176" s="196" t="str">
        <f t="shared" si="56"/>
        <v>OK</v>
      </c>
      <c r="Q176" s="196" t="str">
        <f t="shared" si="56"/>
        <v>OK</v>
      </c>
      <c r="R176" s="15"/>
    </row>
    <row r="177" spans="2:18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7" ref="I177:Q177">IF(I35&gt;=I36,"OK","BŁĄD")</f>
        <v>OK</v>
      </c>
      <c r="J177" s="196" t="str">
        <f t="shared" si="57"/>
        <v>OK</v>
      </c>
      <c r="K177" s="196" t="str">
        <f t="shared" si="57"/>
        <v>OK</v>
      </c>
      <c r="L177" s="196" t="str">
        <f t="shared" si="57"/>
        <v>OK</v>
      </c>
      <c r="M177" s="196" t="str">
        <f t="shared" si="57"/>
        <v>OK</v>
      </c>
      <c r="N177" s="196" t="str">
        <f t="shared" si="57"/>
        <v>OK</v>
      </c>
      <c r="O177" s="196" t="str">
        <f t="shared" si="57"/>
        <v>OK</v>
      </c>
      <c r="P177" s="196" t="str">
        <f t="shared" si="57"/>
        <v>OK</v>
      </c>
      <c r="Q177" s="196" t="str">
        <f t="shared" si="57"/>
        <v>OK</v>
      </c>
      <c r="R177" s="15"/>
    </row>
    <row r="178" spans="2:18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8" ref="I178:Q178">IF(I37&gt;=I38,"OK","BŁĄD")</f>
        <v>OK</v>
      </c>
      <c r="J178" s="196" t="str">
        <f t="shared" si="58"/>
        <v>OK</v>
      </c>
      <c r="K178" s="196" t="str">
        <f t="shared" si="58"/>
        <v>OK</v>
      </c>
      <c r="L178" s="196" t="str">
        <f t="shared" si="58"/>
        <v>OK</v>
      </c>
      <c r="M178" s="196" t="str">
        <f t="shared" si="58"/>
        <v>OK</v>
      </c>
      <c r="N178" s="196" t="str">
        <f t="shared" si="58"/>
        <v>OK</v>
      </c>
      <c r="O178" s="196" t="str">
        <f t="shared" si="58"/>
        <v>OK</v>
      </c>
      <c r="P178" s="196" t="str">
        <f t="shared" si="58"/>
        <v>OK</v>
      </c>
      <c r="Q178" s="196" t="str">
        <f t="shared" si="58"/>
        <v>OK</v>
      </c>
      <c r="R178" s="15"/>
    </row>
    <row r="179" spans="2:18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59" ref="I179:Q179">IF(I39&gt;=I40,"OK","BŁĄD")</f>
        <v>OK</v>
      </c>
      <c r="J179" s="196" t="str">
        <f t="shared" si="59"/>
        <v>OK</v>
      </c>
      <c r="K179" s="196" t="str">
        <f t="shared" si="59"/>
        <v>OK</v>
      </c>
      <c r="L179" s="196" t="str">
        <f t="shared" si="59"/>
        <v>OK</v>
      </c>
      <c r="M179" s="196" t="str">
        <f t="shared" si="59"/>
        <v>OK</v>
      </c>
      <c r="N179" s="196" t="str">
        <f t="shared" si="59"/>
        <v>OK</v>
      </c>
      <c r="O179" s="196" t="str">
        <f t="shared" si="59"/>
        <v>OK</v>
      </c>
      <c r="P179" s="196" t="str">
        <f t="shared" si="59"/>
        <v>OK</v>
      </c>
      <c r="Q179" s="196" t="str">
        <f t="shared" si="59"/>
        <v>OK</v>
      </c>
      <c r="R179" s="15"/>
    </row>
    <row r="180" spans="2:18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0" ref="I180:Q180">IF(I42&gt;=I43,"OK","BŁĄD")</f>
        <v>OK</v>
      </c>
      <c r="J180" s="196" t="str">
        <f t="shared" si="60"/>
        <v>OK</v>
      </c>
      <c r="K180" s="196" t="str">
        <f t="shared" si="60"/>
        <v>OK</v>
      </c>
      <c r="L180" s="196" t="str">
        <f t="shared" si="60"/>
        <v>OK</v>
      </c>
      <c r="M180" s="196" t="str">
        <f t="shared" si="60"/>
        <v>OK</v>
      </c>
      <c r="N180" s="196" t="str">
        <f t="shared" si="60"/>
        <v>OK</v>
      </c>
      <c r="O180" s="196" t="str">
        <f t="shared" si="60"/>
        <v>OK</v>
      </c>
      <c r="P180" s="196" t="str">
        <f t="shared" si="60"/>
        <v>OK</v>
      </c>
      <c r="Q180" s="196" t="str">
        <f t="shared" si="60"/>
        <v>OK</v>
      </c>
      <c r="R180" s="15"/>
    </row>
    <row r="181" spans="2:18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1" ref="I181:Q181">IF(I42&gt;=I64,"OK","BŁĄD")</f>
        <v>OK</v>
      </c>
      <c r="J181" s="196" t="str">
        <f t="shared" si="61"/>
        <v>OK</v>
      </c>
      <c r="K181" s="196" t="str">
        <f t="shared" si="61"/>
        <v>OK</v>
      </c>
      <c r="L181" s="196" t="str">
        <f t="shared" si="61"/>
        <v>OK</v>
      </c>
      <c r="M181" s="196" t="str">
        <f t="shared" si="61"/>
        <v>OK</v>
      </c>
      <c r="N181" s="196" t="str">
        <f t="shared" si="61"/>
        <v>OK</v>
      </c>
      <c r="O181" s="196" t="str">
        <f t="shared" si="61"/>
        <v>OK</v>
      </c>
      <c r="P181" s="196" t="str">
        <f t="shared" si="61"/>
        <v>OK</v>
      </c>
      <c r="Q181" s="196" t="str">
        <f t="shared" si="61"/>
        <v>OK</v>
      </c>
      <c r="R181" s="15"/>
    </row>
    <row r="182" spans="2:18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2" ref="I182:Q182">IF(I42&gt;=I104,"OK","BŁĄD")</f>
        <v>OK</v>
      </c>
      <c r="J182" s="196" t="str">
        <f t="shared" si="62"/>
        <v>OK</v>
      </c>
      <c r="K182" s="196" t="str">
        <f t="shared" si="62"/>
        <v>OK</v>
      </c>
      <c r="L182" s="196" t="str">
        <f t="shared" si="62"/>
        <v>OK</v>
      </c>
      <c r="M182" s="196" t="str">
        <f t="shared" si="62"/>
        <v>OK</v>
      </c>
      <c r="N182" s="196" t="str">
        <f t="shared" si="62"/>
        <v>OK</v>
      </c>
      <c r="O182" s="196" t="str">
        <f t="shared" si="62"/>
        <v>OK</v>
      </c>
      <c r="P182" s="196" t="str">
        <f t="shared" si="62"/>
        <v>OK</v>
      </c>
      <c r="Q182" s="196" t="str">
        <f t="shared" si="62"/>
        <v>OK</v>
      </c>
      <c r="R182" s="15"/>
    </row>
    <row r="183" spans="2:18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3" ref="I183:Q183">IF(I48&gt;=I49,"OK","BŁĄD")</f>
        <v>OK</v>
      </c>
      <c r="J183" s="196" t="str">
        <f t="shared" si="63"/>
        <v>OK</v>
      </c>
      <c r="K183" s="196" t="str">
        <f t="shared" si="63"/>
        <v>OK</v>
      </c>
      <c r="L183" s="196" t="str">
        <f t="shared" si="63"/>
        <v>OK</v>
      </c>
      <c r="M183" s="196" t="str">
        <f t="shared" si="63"/>
        <v>OK</v>
      </c>
      <c r="N183" s="196" t="str">
        <f t="shared" si="63"/>
        <v>OK</v>
      </c>
      <c r="O183" s="196" t="str">
        <f t="shared" si="63"/>
        <v>OK</v>
      </c>
      <c r="P183" s="196" t="str">
        <f t="shared" si="63"/>
        <v>OK</v>
      </c>
      <c r="Q183" s="196" t="str">
        <f t="shared" si="63"/>
        <v>OK</v>
      </c>
      <c r="R183" s="15"/>
    </row>
    <row r="184" spans="2:18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4" ref="I184:Q184">IF(I48&gt;=I105,"OK","BŁĄD")</f>
        <v>OK</v>
      </c>
      <c r="J184" s="196" t="str">
        <f t="shared" si="64"/>
        <v>OK</v>
      </c>
      <c r="K184" s="196" t="str">
        <f t="shared" si="64"/>
        <v>OK</v>
      </c>
      <c r="L184" s="196" t="str">
        <f t="shared" si="64"/>
        <v>OK</v>
      </c>
      <c r="M184" s="196" t="str">
        <f t="shared" si="64"/>
        <v>OK</v>
      </c>
      <c r="N184" s="196" t="str">
        <f t="shared" si="64"/>
        <v>OK</v>
      </c>
      <c r="O184" s="196" t="str">
        <f t="shared" si="64"/>
        <v>OK</v>
      </c>
      <c r="P184" s="196" t="str">
        <f t="shared" si="64"/>
        <v>OK</v>
      </c>
      <c r="Q184" s="196" t="str">
        <f t="shared" si="64"/>
        <v>OK</v>
      </c>
      <c r="R184" s="15"/>
    </row>
    <row r="185" spans="2:18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5" ref="I185:Q185">IF(I49&gt;=I96,"OK","BŁĄD")</f>
        <v>OK</v>
      </c>
      <c r="J185" s="196" t="str">
        <f t="shared" si="65"/>
        <v>OK</v>
      </c>
      <c r="K185" s="196" t="str">
        <f t="shared" si="65"/>
        <v>OK</v>
      </c>
      <c r="L185" s="196" t="str">
        <f t="shared" si="65"/>
        <v>OK</v>
      </c>
      <c r="M185" s="196" t="str">
        <f t="shared" si="65"/>
        <v>OK</v>
      </c>
      <c r="N185" s="196" t="str">
        <f t="shared" si="65"/>
        <v>OK</v>
      </c>
      <c r="O185" s="196" t="str">
        <f t="shared" si="65"/>
        <v>OK</v>
      </c>
      <c r="P185" s="196" t="str">
        <f t="shared" si="65"/>
        <v>OK</v>
      </c>
      <c r="Q185" s="196" t="str">
        <f t="shared" si="65"/>
        <v>OK</v>
      </c>
      <c r="R185" s="15"/>
    </row>
    <row r="186" spans="2:18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6" ref="I186:Q186">IF(I26&lt;&gt;0,IF(I27&lt;&gt;0,"OK","BŁĄD"),"N/D")</f>
        <v>OK</v>
      </c>
      <c r="J186" s="200" t="str">
        <f t="shared" si="66"/>
        <v>OK</v>
      </c>
      <c r="K186" s="200" t="str">
        <f t="shared" si="66"/>
        <v>OK</v>
      </c>
      <c r="L186" s="200" t="str">
        <f t="shared" si="66"/>
        <v>OK</v>
      </c>
      <c r="M186" s="200" t="str">
        <f t="shared" si="66"/>
        <v>OK</v>
      </c>
      <c r="N186" s="200" t="str">
        <f t="shared" si="66"/>
        <v>OK</v>
      </c>
      <c r="O186" s="200" t="str">
        <f t="shared" si="66"/>
        <v>OK</v>
      </c>
      <c r="P186" s="200" t="str">
        <f t="shared" si="66"/>
        <v>OK</v>
      </c>
      <c r="Q186" s="200" t="str">
        <f t="shared" si="66"/>
        <v>OK</v>
      </c>
      <c r="R186" s="15"/>
    </row>
    <row r="187" spans="2:18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5"/>
    </row>
    <row r="188" spans="2:18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5"/>
    </row>
    <row r="189" spans="2:18" ht="15" outlineLevel="2">
      <c r="B189" s="120"/>
      <c r="C189" s="282"/>
      <c r="D189" s="121" t="s">
        <v>29</v>
      </c>
      <c r="E189" s="134">
        <f aca="true" t="shared" si="67" ref="E189:Q189">E11+E18</f>
        <v>21610771.540000003</v>
      </c>
      <c r="F189" s="135">
        <f t="shared" si="67"/>
        <v>24064060.560000002</v>
      </c>
      <c r="G189" s="135">
        <f t="shared" si="67"/>
        <v>29393385.009999998</v>
      </c>
      <c r="H189" s="136">
        <f t="shared" si="67"/>
        <v>27655991.58</v>
      </c>
      <c r="I189" s="122">
        <f t="shared" si="67"/>
        <v>27734548</v>
      </c>
      <c r="J189" s="123">
        <f t="shared" si="67"/>
        <v>25667000</v>
      </c>
      <c r="K189" s="123">
        <f t="shared" si="67"/>
        <v>26180000</v>
      </c>
      <c r="L189" s="123">
        <f t="shared" si="67"/>
        <v>26704000</v>
      </c>
      <c r="M189" s="123">
        <f t="shared" si="67"/>
        <v>27238000</v>
      </c>
      <c r="N189" s="123">
        <f t="shared" si="67"/>
        <v>27510000</v>
      </c>
      <c r="O189" s="123">
        <f t="shared" si="67"/>
        <v>27786000</v>
      </c>
      <c r="P189" s="123">
        <f t="shared" si="67"/>
        <v>28064000</v>
      </c>
      <c r="Q189" s="123">
        <f t="shared" si="67"/>
        <v>28345000</v>
      </c>
      <c r="R189" s="120"/>
    </row>
    <row r="190" spans="2:18" ht="15" outlineLevel="2">
      <c r="B190" s="120"/>
      <c r="C190" s="282"/>
      <c r="D190" s="125" t="s">
        <v>30</v>
      </c>
      <c r="E190" s="137">
        <f aca="true" t="shared" si="68" ref="E190:Q190">E22+E30</f>
        <v>20196084.5</v>
      </c>
      <c r="F190" s="138">
        <f t="shared" si="68"/>
        <v>23197365.25</v>
      </c>
      <c r="G190" s="138">
        <f t="shared" si="68"/>
        <v>30312039.01</v>
      </c>
      <c r="H190" s="139">
        <f t="shared" si="68"/>
        <v>27076099.619999997</v>
      </c>
      <c r="I190" s="126">
        <f t="shared" si="68"/>
        <v>26787281.12</v>
      </c>
      <c r="J190" s="127">
        <f t="shared" si="68"/>
        <v>24670001.12</v>
      </c>
      <c r="K190" s="127">
        <f t="shared" si="68"/>
        <v>25232620.55</v>
      </c>
      <c r="L190" s="127">
        <f t="shared" si="68"/>
        <v>25846585.12</v>
      </c>
      <c r="M190" s="127">
        <f t="shared" si="68"/>
        <v>26574585.12</v>
      </c>
      <c r="N190" s="127">
        <f t="shared" si="68"/>
        <v>26846585.12</v>
      </c>
      <c r="O190" s="127">
        <f t="shared" si="68"/>
        <v>27122585.12</v>
      </c>
      <c r="P190" s="127">
        <f t="shared" si="68"/>
        <v>27478385.12</v>
      </c>
      <c r="Q190" s="127">
        <f t="shared" si="68"/>
        <v>27791931.24</v>
      </c>
      <c r="R190" s="120"/>
    </row>
    <row r="191" spans="2:18" ht="15" outlineLevel="2">
      <c r="B191" s="120"/>
      <c r="C191" s="282"/>
      <c r="D191" s="125" t="s">
        <v>302</v>
      </c>
      <c r="E191" s="137">
        <f aca="true" t="shared" si="69" ref="E191:Q191">E10-E21</f>
        <v>1414687.039999999</v>
      </c>
      <c r="F191" s="138">
        <f t="shared" si="69"/>
        <v>866695.3099999987</v>
      </c>
      <c r="G191" s="138">
        <f t="shared" si="69"/>
        <v>-918654</v>
      </c>
      <c r="H191" s="139">
        <f t="shared" si="69"/>
        <v>579891.9599999972</v>
      </c>
      <c r="I191" s="126">
        <f t="shared" si="69"/>
        <v>947266.879999999</v>
      </c>
      <c r="J191" s="127">
        <f t="shared" si="69"/>
        <v>996998.879999999</v>
      </c>
      <c r="K191" s="127">
        <f t="shared" si="69"/>
        <v>947379.4499999993</v>
      </c>
      <c r="L191" s="127">
        <f t="shared" si="69"/>
        <v>857414.879999999</v>
      </c>
      <c r="M191" s="127">
        <f t="shared" si="69"/>
        <v>663414.879999999</v>
      </c>
      <c r="N191" s="127">
        <f t="shared" si="69"/>
        <v>663414.879999999</v>
      </c>
      <c r="O191" s="127">
        <f t="shared" si="69"/>
        <v>663414.879999999</v>
      </c>
      <c r="P191" s="127">
        <f t="shared" si="69"/>
        <v>585614.879999999</v>
      </c>
      <c r="Q191" s="127">
        <f t="shared" si="69"/>
        <v>553068.7600000016</v>
      </c>
      <c r="R191" s="120"/>
    </row>
    <row r="192" spans="2:18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6877988.37</v>
      </c>
      <c r="I192" s="126">
        <f aca="true" t="shared" si="70" ref="I192:Q192">H48+I37-I42+(I105-H105)+I110</f>
        <v>5930721.49</v>
      </c>
      <c r="J192" s="127">
        <f t="shared" si="70"/>
        <v>4933722.61</v>
      </c>
      <c r="K192" s="127">
        <f t="shared" si="70"/>
        <v>3986343.16</v>
      </c>
      <c r="L192" s="127">
        <f t="shared" si="70"/>
        <v>3128928.2800000003</v>
      </c>
      <c r="M192" s="127">
        <f t="shared" si="70"/>
        <v>2465513.4</v>
      </c>
      <c r="N192" s="127">
        <f t="shared" si="70"/>
        <v>1802098.52</v>
      </c>
      <c r="O192" s="127">
        <f t="shared" si="70"/>
        <v>1138683.6400000001</v>
      </c>
      <c r="P192" s="127">
        <f t="shared" si="70"/>
        <v>553068.7599999999</v>
      </c>
      <c r="Q192" s="127">
        <f t="shared" si="70"/>
        <v>0</v>
      </c>
      <c r="R192" s="120"/>
    </row>
    <row r="193" spans="2:18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1" ref="I193:Q193">H96-(I98+I99+I100+I101)</f>
        <v>0</v>
      </c>
      <c r="J193" s="132">
        <f t="shared" si="71"/>
        <v>0</v>
      </c>
      <c r="K193" s="132">
        <f t="shared" si="71"/>
        <v>0</v>
      </c>
      <c r="L193" s="132">
        <f t="shared" si="71"/>
        <v>0</v>
      </c>
      <c r="M193" s="132">
        <f t="shared" si="71"/>
        <v>0</v>
      </c>
      <c r="N193" s="132">
        <f t="shared" si="71"/>
        <v>0</v>
      </c>
      <c r="O193" s="132">
        <f t="shared" si="71"/>
        <v>0</v>
      </c>
      <c r="P193" s="132">
        <f t="shared" si="71"/>
        <v>0</v>
      </c>
      <c r="Q193" s="132">
        <f t="shared" si="71"/>
        <v>0</v>
      </c>
      <c r="R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7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</row>
    <row r="198" spans="4:17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</row>
    <row r="199" spans="4:17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</row>
    <row r="200" spans="4:17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2" ref="I200:Q200">+IF(I10=0,"",I59-I54)</f>
        <v>0.0866</v>
      </c>
      <c r="J200" s="154">
        <f t="shared" si="72"/>
        <v>0.09519999999999998</v>
      </c>
      <c r="K200" s="154">
        <f t="shared" si="72"/>
        <v>0.0742</v>
      </c>
      <c r="L200" s="154">
        <f t="shared" si="72"/>
        <v>0.0539</v>
      </c>
      <c r="M200" s="154">
        <f t="shared" si="72"/>
        <v>0.0385</v>
      </c>
      <c r="N200" s="154">
        <f t="shared" si="72"/>
        <v>0.04</v>
      </c>
      <c r="O200" s="154">
        <f t="shared" si="72"/>
        <v>0.0416</v>
      </c>
      <c r="P200" s="154">
        <f t="shared" si="72"/>
        <v>0.046</v>
      </c>
      <c r="Q200" s="154">
        <f t="shared" si="72"/>
        <v>0.0486</v>
      </c>
    </row>
    <row r="201" spans="4:17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3" ref="I201:Q201">+IF(I10=0,"",I59-I55)</f>
        <v>0.0866</v>
      </c>
      <c r="J201" s="158">
        <f t="shared" si="73"/>
        <v>0.09519999999999998</v>
      </c>
      <c r="K201" s="158">
        <f t="shared" si="73"/>
        <v>0.0742</v>
      </c>
      <c r="L201" s="158">
        <f t="shared" si="73"/>
        <v>0.0539</v>
      </c>
      <c r="M201" s="158">
        <f t="shared" si="73"/>
        <v>0.0385</v>
      </c>
      <c r="N201" s="158">
        <f t="shared" si="73"/>
        <v>0.04</v>
      </c>
      <c r="O201" s="158">
        <f t="shared" si="73"/>
        <v>0.0416</v>
      </c>
      <c r="P201" s="158">
        <f t="shared" si="73"/>
        <v>0.046</v>
      </c>
      <c r="Q201" s="158">
        <f t="shared" si="73"/>
        <v>0.0486</v>
      </c>
    </row>
    <row r="202" spans="4:17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4" ref="I202:Q202">+IF(I10=0,"",I60-I54)</f>
        <v>0.0831</v>
      </c>
      <c r="J202" s="154">
        <f t="shared" si="74"/>
        <v>0.0917</v>
      </c>
      <c r="K202" s="154">
        <f t="shared" si="74"/>
        <v>0.0707</v>
      </c>
      <c r="L202" s="154">
        <f t="shared" si="74"/>
        <v>0.0539</v>
      </c>
      <c r="M202" s="154">
        <f t="shared" si="74"/>
        <v>0.0385</v>
      </c>
      <c r="N202" s="154">
        <f t="shared" si="74"/>
        <v>0.04</v>
      </c>
      <c r="O202" s="154">
        <f t="shared" si="74"/>
        <v>0.0416</v>
      </c>
      <c r="P202" s="154">
        <f t="shared" si="74"/>
        <v>0.046</v>
      </c>
      <c r="Q202" s="154">
        <f t="shared" si="74"/>
        <v>0.0486</v>
      </c>
    </row>
    <row r="203" spans="4:17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5" ref="I203:Q203">+IF(I10=0,"",I60-I55)</f>
        <v>0.0831</v>
      </c>
      <c r="J203" s="158">
        <f t="shared" si="75"/>
        <v>0.0917</v>
      </c>
      <c r="K203" s="158">
        <f t="shared" si="75"/>
        <v>0.0707</v>
      </c>
      <c r="L203" s="158">
        <f t="shared" si="75"/>
        <v>0.0539</v>
      </c>
      <c r="M203" s="158">
        <f t="shared" si="75"/>
        <v>0.0385</v>
      </c>
      <c r="N203" s="158">
        <f t="shared" si="75"/>
        <v>0.04</v>
      </c>
      <c r="O203" s="158">
        <f t="shared" si="75"/>
        <v>0.0416</v>
      </c>
      <c r="P203" s="158">
        <f t="shared" si="75"/>
        <v>0.046</v>
      </c>
      <c r="Q203" s="158">
        <f t="shared" si="75"/>
        <v>0.0486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Q62">
    <cfRule type="expression" priority="39" dxfId="24" stopIfTrue="1">
      <formula>LEFT(I61,3)="Nie"</formula>
    </cfRule>
  </conditionalFormatting>
  <conditionalFormatting sqref="I133:Q133">
    <cfRule type="cellIs" priority="13" dxfId="25" operator="between" stopIfTrue="1">
      <formula>0</formula>
      <formula>1000000000000</formula>
    </cfRule>
  </conditionalFormatting>
  <conditionalFormatting sqref="I134:Q136">
    <cfRule type="cellIs" priority="12" dxfId="25" operator="between" stopIfTrue="1">
      <formula>-1000000000000</formula>
      <formula>1000000000000</formula>
    </cfRule>
  </conditionalFormatting>
  <conditionalFormatting sqref="I131:Q132">
    <cfRule type="cellIs" priority="11" dxfId="26" operator="between" stopIfTrue="1">
      <formula>-1000000000000</formula>
      <formula>1000000000000</formula>
    </cfRule>
  </conditionalFormatting>
  <conditionalFormatting sqref="I137:Q186">
    <cfRule type="cellIs" priority="10" dxfId="3" operator="equal" stopIfTrue="1">
      <formula>"BŁĄD"</formula>
    </cfRule>
  </conditionalFormatting>
  <conditionalFormatting sqref="I200:Q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XVI/120/2016</v>
      </c>
      <c r="F5" s="71"/>
      <c r="G5" s="76"/>
      <c r="I5" s="77" t="str">
        <f>D6&amp;" - "&amp;"WPF za lata "&amp;D7&amp;" - Nr Uchwały JST: "&amp;D5</f>
        <v>KLESZCZEWO - WPF za lata 2016 - 2024 - Nr Uchwały JST: XVI/120/2016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2016 - 2024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2013</v>
      </c>
      <c r="F9" s="271">
        <f>+G9-1</f>
        <v>2014</v>
      </c>
      <c r="G9" s="271">
        <f>+H9</f>
        <v>2015</v>
      </c>
      <c r="H9" s="272">
        <f>+I9-1</f>
        <v>2015</v>
      </c>
      <c r="I9" s="84">
        <f>+DaneZrodlowe!$N$1</f>
        <v>2016</v>
      </c>
      <c r="J9" s="85">
        <f>+I9+1</f>
        <v>2017</v>
      </c>
      <c r="K9" s="85">
        <f aca="true" t="shared" si="0" ref="K9:AL9">+J9+1</f>
        <v>2018</v>
      </c>
      <c r="L9" s="85">
        <f t="shared" si="0"/>
        <v>2019</v>
      </c>
      <c r="M9" s="85">
        <f t="shared" si="0"/>
        <v>2020</v>
      </c>
      <c r="N9" s="85">
        <f t="shared" si="0"/>
        <v>2021</v>
      </c>
      <c r="O9" s="85">
        <f t="shared" si="0"/>
        <v>2022</v>
      </c>
      <c r="P9" s="85">
        <f t="shared" si="0"/>
        <v>2023</v>
      </c>
      <c r="Q9" s="85">
        <f t="shared" si="0"/>
        <v>2024</v>
      </c>
      <c r="R9" s="85">
        <f t="shared" si="0"/>
        <v>2025</v>
      </c>
      <c r="S9" s="85">
        <f t="shared" si="0"/>
        <v>2026</v>
      </c>
      <c r="T9" s="85">
        <f t="shared" si="0"/>
        <v>2027</v>
      </c>
      <c r="U9" s="85">
        <f t="shared" si="0"/>
        <v>2028</v>
      </c>
      <c r="V9" s="85">
        <f t="shared" si="0"/>
        <v>2029</v>
      </c>
      <c r="W9" s="85">
        <f t="shared" si="0"/>
        <v>2030</v>
      </c>
      <c r="X9" s="85">
        <f t="shared" si="0"/>
        <v>2031</v>
      </c>
      <c r="Y9" s="85">
        <f t="shared" si="0"/>
        <v>2032</v>
      </c>
      <c r="Z9" s="85">
        <f t="shared" si="0"/>
        <v>2033</v>
      </c>
      <c r="AA9" s="85">
        <f t="shared" si="0"/>
        <v>2034</v>
      </c>
      <c r="AB9" s="85">
        <f t="shared" si="0"/>
        <v>2035</v>
      </c>
      <c r="AC9" s="85">
        <f t="shared" si="0"/>
        <v>2036</v>
      </c>
      <c r="AD9" s="85">
        <f t="shared" si="0"/>
        <v>2037</v>
      </c>
      <c r="AE9" s="85">
        <f t="shared" si="0"/>
        <v>2038</v>
      </c>
      <c r="AF9" s="85">
        <f t="shared" si="0"/>
        <v>2039</v>
      </c>
      <c r="AG9" s="85">
        <f t="shared" si="0"/>
        <v>2040</v>
      </c>
      <c r="AH9" s="85">
        <f t="shared" si="0"/>
        <v>2041</v>
      </c>
      <c r="AI9" s="85">
        <f t="shared" si="0"/>
        <v>2042</v>
      </c>
      <c r="AJ9" s="85">
        <f t="shared" si="0"/>
        <v>2043</v>
      </c>
      <c r="AK9" s="85">
        <f t="shared" si="0"/>
        <v>2044</v>
      </c>
      <c r="AL9" s="86">
        <f t="shared" si="0"/>
        <v>2045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21610771.54</v>
      </c>
      <c r="F10" s="143">
        <f>'Zał.1_WPF_bazowy'!F10</f>
        <v>24064060.56</v>
      </c>
      <c r="G10" s="143">
        <f>'Zał.1_WPF_bazowy'!G10</f>
        <v>29393385.01</v>
      </c>
      <c r="H10" s="65">
        <f>+H11+H18</f>
        <v>27655991.58</v>
      </c>
      <c r="I10" s="63">
        <f>+I11+I18</f>
        <v>27734548</v>
      </c>
      <c r="J10" s="64">
        <f aca="true" t="shared" si="1" ref="J10:AL10">+J11+J18</f>
        <v>25667000</v>
      </c>
      <c r="K10" s="64">
        <f t="shared" si="1"/>
        <v>26180000</v>
      </c>
      <c r="L10" s="64">
        <f t="shared" si="1"/>
        <v>26704000</v>
      </c>
      <c r="M10" s="64">
        <f t="shared" si="1"/>
        <v>27238000</v>
      </c>
      <c r="N10" s="64">
        <f t="shared" si="1"/>
        <v>27510000</v>
      </c>
      <c r="O10" s="64">
        <f t="shared" si="1"/>
        <v>27786000</v>
      </c>
      <c r="P10" s="64">
        <f t="shared" si="1"/>
        <v>28064000</v>
      </c>
      <c r="Q10" s="64">
        <f t="shared" si="1"/>
        <v>28345000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20002542.85</v>
      </c>
      <c r="F11" s="145">
        <f>'Zał.1_WPF_bazowy'!F11</f>
        <v>22920414.94</v>
      </c>
      <c r="G11" s="145">
        <f>'Zał.1_WPF_bazowy'!G11</f>
        <v>23975979.65</v>
      </c>
      <c r="H11" s="171">
        <f>'Zał.1_WPF_bazowy'!H11</f>
        <v>24917337.83</v>
      </c>
      <c r="I11" s="172">
        <f>+'Zał.1_WPF_bazowy'!I11</f>
        <v>25201005</v>
      </c>
      <c r="J11" s="173">
        <f>+'Zał.1_WPF_bazowy'!J11</f>
        <v>25667000</v>
      </c>
      <c r="K11" s="173">
        <f>+'Zał.1_WPF_bazowy'!K11</f>
        <v>26180000</v>
      </c>
      <c r="L11" s="173">
        <f>+'Zał.1_WPF_bazowy'!L11</f>
        <v>26704000</v>
      </c>
      <c r="M11" s="173">
        <f>+'Zał.1_WPF_bazowy'!M11</f>
        <v>27238000</v>
      </c>
      <c r="N11" s="173">
        <f>+'Zał.1_WPF_bazowy'!N11</f>
        <v>27510000</v>
      </c>
      <c r="O11" s="173">
        <f>+'Zał.1_WPF_bazowy'!O11</f>
        <v>27786000</v>
      </c>
      <c r="P11" s="173">
        <f>+'Zał.1_WPF_bazowy'!P11</f>
        <v>28064000</v>
      </c>
      <c r="Q11" s="173">
        <f>+'Zał.1_WPF_bazowy'!Q11</f>
        <v>28345000</v>
      </c>
      <c r="R11" s="173" t="e">
        <f>+'Zał.1_WPF_bazowy'!#REF!</f>
        <v>#REF!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5229743</v>
      </c>
      <c r="F12" s="145">
        <f>'Zał.1_WPF_bazowy'!F12</f>
        <v>6335574</v>
      </c>
      <c r="G12" s="145">
        <f>'Zał.1_WPF_bazowy'!G12</f>
        <v>7160433</v>
      </c>
      <c r="H12" s="171">
        <f>'Zał.1_WPF_bazowy'!H12</f>
        <v>7222720</v>
      </c>
      <c r="I12" s="172">
        <f>+'Zał.1_WPF_bazowy'!I12</f>
        <v>8222487</v>
      </c>
      <c r="J12" s="173">
        <f>+'Zał.1_WPF_bazowy'!J12</f>
        <v>8387000</v>
      </c>
      <c r="K12" s="173">
        <f>+'Zał.1_WPF_bazowy'!K12</f>
        <v>8554600</v>
      </c>
      <c r="L12" s="173">
        <f>+'Zał.1_WPF_bazowy'!L12</f>
        <v>8726000</v>
      </c>
      <c r="M12" s="173">
        <f>+'Zał.1_WPF_bazowy'!M12</f>
        <v>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 t="e">
        <f>+'Zał.1_WPF_bazowy'!#REF!</f>
        <v>#REF!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129067.1</v>
      </c>
      <c r="F13" s="145">
        <f>'Zał.1_WPF_bazowy'!F13</f>
        <v>194099.96</v>
      </c>
      <c r="G13" s="145">
        <f>'Zał.1_WPF_bazowy'!G13</f>
        <v>130000</v>
      </c>
      <c r="H13" s="171">
        <f>'Zał.1_WPF_bazowy'!H13</f>
        <v>193232</v>
      </c>
      <c r="I13" s="172">
        <f>+'Zał.1_WPF_bazowy'!I13</f>
        <v>130000</v>
      </c>
      <c r="J13" s="173">
        <f>+'Zał.1_WPF_bazowy'!J13</f>
        <v>133000</v>
      </c>
      <c r="K13" s="173">
        <f>+'Zał.1_WPF_bazowy'!K13</f>
        <v>135000</v>
      </c>
      <c r="L13" s="173">
        <f>+'Zał.1_WPF_bazowy'!L13</f>
        <v>138000</v>
      </c>
      <c r="M13" s="173">
        <f>+'Zał.1_WPF_bazowy'!M13</f>
        <v>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 t="e">
        <f>+'Zał.1_WPF_bazowy'!#REF!</f>
        <v>#REF!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4204791.91</v>
      </c>
      <c r="F14" s="145">
        <f>'Zał.1_WPF_bazowy'!F14</f>
        <v>5084251.06</v>
      </c>
      <c r="G14" s="145">
        <f>'Zał.1_WPF_bazowy'!G14</f>
        <v>4935550</v>
      </c>
      <c r="H14" s="171">
        <f>'Zał.1_WPF_bazowy'!H14</f>
        <v>5219302.98</v>
      </c>
      <c r="I14" s="172">
        <f>+'Zał.1_WPF_bazowy'!I14</f>
        <v>5114562</v>
      </c>
      <c r="J14" s="173">
        <f>+'Zał.1_WPF_bazowy'!J14</f>
        <v>5217000</v>
      </c>
      <c r="K14" s="173">
        <f>+'Zał.1_WPF_bazowy'!K14</f>
        <v>5321000</v>
      </c>
      <c r="L14" s="173">
        <f>+'Zał.1_WPF_bazowy'!L14</f>
        <v>5428000</v>
      </c>
      <c r="M14" s="173">
        <f>+'Zał.1_WPF_bazowy'!M14</f>
        <v>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 t="e">
        <f>+'Zał.1_WPF_bazowy'!#REF!</f>
        <v>#REF!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2355392.56</v>
      </c>
      <c r="F15" s="145">
        <f>'Zał.1_WPF_bazowy'!F15</f>
        <v>2936834.83</v>
      </c>
      <c r="G15" s="145">
        <f>'Zał.1_WPF_bazowy'!G15</f>
        <v>2976000</v>
      </c>
      <c r="H15" s="171">
        <f>'Zał.1_WPF_bazowy'!H15</f>
        <v>3010040.35</v>
      </c>
      <c r="I15" s="172">
        <f>+'Zał.1_WPF_bazowy'!I15</f>
        <v>2981000</v>
      </c>
      <c r="J15" s="173">
        <f>+'Zał.1_WPF_bazowy'!J15</f>
        <v>3041000</v>
      </c>
      <c r="K15" s="173">
        <f>+'Zał.1_WPF_bazowy'!K15</f>
        <v>3101000</v>
      </c>
      <c r="L15" s="173">
        <f>+'Zał.1_WPF_bazowy'!L15</f>
        <v>3163000</v>
      </c>
      <c r="M15" s="173">
        <f>+'Zał.1_WPF_bazowy'!M15</f>
        <v>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 t="e">
        <f>+'Zał.1_WPF_bazowy'!#REF!</f>
        <v>#REF!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7405983</v>
      </c>
      <c r="F16" s="145">
        <f>'Zał.1_WPF_bazowy'!F16</f>
        <v>8235317</v>
      </c>
      <c r="G16" s="145">
        <f>'Zał.1_WPF_bazowy'!G16</f>
        <v>8749959</v>
      </c>
      <c r="H16" s="171">
        <f>'Zał.1_WPF_bazowy'!H16</f>
        <v>8749959</v>
      </c>
      <c r="I16" s="172">
        <f>+'Zał.1_WPF_bazowy'!I16</f>
        <v>9413284</v>
      </c>
      <c r="J16" s="173">
        <f>+'Zał.1_WPF_bazowy'!J16</f>
        <v>9602000</v>
      </c>
      <c r="K16" s="173">
        <f>+'Zał.1_WPF_bazowy'!K16</f>
        <v>9794000</v>
      </c>
      <c r="L16" s="173">
        <f>+'Zał.1_WPF_bazowy'!L16</f>
        <v>9989000</v>
      </c>
      <c r="M16" s="173">
        <f>+'Zał.1_WPF_bazowy'!M16</f>
        <v>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 t="e">
        <f>+'Zał.1_WPF_bazowy'!#REF!</f>
        <v>#REF!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2268057.87</v>
      </c>
      <c r="F17" s="145">
        <f>'Zał.1_WPF_bazowy'!F17</f>
        <v>2691944.63</v>
      </c>
      <c r="G17" s="145">
        <f>'Zał.1_WPF_bazowy'!G17</f>
        <v>2632294.65</v>
      </c>
      <c r="H17" s="171">
        <f>'Zał.1_WPF_bazowy'!H17</f>
        <v>3166993.52</v>
      </c>
      <c r="I17" s="172">
        <f>+'Zał.1_WPF_bazowy'!I17</f>
        <v>2102632</v>
      </c>
      <c r="J17" s="173">
        <f>+'Zał.1_WPF_bazowy'!J17</f>
        <v>2110000</v>
      </c>
      <c r="K17" s="173">
        <f>+'Zał.1_WPF_bazowy'!K17</f>
        <v>2153000</v>
      </c>
      <c r="L17" s="173">
        <f>+'Zał.1_WPF_bazowy'!L17</f>
        <v>2196000</v>
      </c>
      <c r="M17" s="173">
        <f>+'Zał.1_WPF_bazowy'!M17</f>
        <v>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 t="e">
        <f>+'Zał.1_WPF_bazowy'!#REF!</f>
        <v>#REF!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1608228.69</v>
      </c>
      <c r="F18" s="145">
        <f>'Zał.1_WPF_bazowy'!F18</f>
        <v>1143645.62</v>
      </c>
      <c r="G18" s="145">
        <f>'Zał.1_WPF_bazowy'!G18</f>
        <v>5417405.36</v>
      </c>
      <c r="H18" s="171">
        <f>'Zał.1_WPF_bazowy'!H18</f>
        <v>2738653.75</v>
      </c>
      <c r="I18" s="172">
        <f>+'Zał.1_WPF_bazowy'!I18</f>
        <v>2533543</v>
      </c>
      <c r="J18" s="173">
        <f>+'Zał.1_WPF_bazowy'!J18</f>
        <v>0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 t="e">
        <f>+'Zał.1_WPF_bazowy'!#REF!</f>
        <v>#REF!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431581.68</v>
      </c>
      <c r="F19" s="145">
        <f>'Zał.1_WPF_bazowy'!F19</f>
        <v>1074748.04</v>
      </c>
      <c r="G19" s="145">
        <f>'Zał.1_WPF_bazowy'!G19</f>
        <v>2795280</v>
      </c>
      <c r="H19" s="171">
        <f>'Zał.1_WPF_bazowy'!H19</f>
        <v>5928.75</v>
      </c>
      <c r="I19" s="172">
        <f>+'Zał.1_WPF_bazowy'!I19</f>
        <v>2235832</v>
      </c>
      <c r="J19" s="173">
        <f>+'Zał.1_WPF_bazowy'!J19</f>
        <v>0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 t="e">
        <f>+'Zał.1_WPF_bazowy'!#REF!</f>
        <v>#REF!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1267558.57</v>
      </c>
      <c r="F20" s="145">
        <f>'Zał.1_WPF_bazowy'!F20</f>
        <v>61451.18</v>
      </c>
      <c r="G20" s="145">
        <f>'Zał.1_WPF_bazowy'!G20</f>
        <v>2614679.36</v>
      </c>
      <c r="H20" s="171">
        <f>'Zał.1_WPF_bazowy'!H20</f>
        <v>2725278.6</v>
      </c>
      <c r="I20" s="172">
        <f>+'Zał.1_WPF_bazowy'!I20</f>
        <v>21300</v>
      </c>
      <c r="J20" s="173">
        <f>+'Zał.1_WPF_bazowy'!J20</f>
        <v>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 t="e">
        <f>+'Zał.1_WPF_bazowy'!#REF!</f>
        <v>#REF!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20196084.5</v>
      </c>
      <c r="F21" s="143">
        <f>'Zał.1_WPF_bazowy'!F21</f>
        <v>23197365.25</v>
      </c>
      <c r="G21" s="143">
        <f>'Zał.1_WPF_bazowy'!G21</f>
        <v>30312039.01</v>
      </c>
      <c r="H21" s="65">
        <f>+H22+H30</f>
        <v>27076099.619999997</v>
      </c>
      <c r="I21" s="63">
        <f>+I22+I30</f>
        <v>26787281.12</v>
      </c>
      <c r="J21" s="64">
        <f aca="true" t="shared" si="2" ref="J21:AL21">+J22+J30</f>
        <v>24670001.12</v>
      </c>
      <c r="K21" s="64">
        <f t="shared" si="2"/>
        <v>25232620.55</v>
      </c>
      <c r="L21" s="64">
        <f t="shared" si="2"/>
        <v>25846585.12</v>
      </c>
      <c r="M21" s="64">
        <f t="shared" si="2"/>
        <v>26574585.12</v>
      </c>
      <c r="N21" s="64">
        <f t="shared" si="2"/>
        <v>26846585.12</v>
      </c>
      <c r="O21" s="64">
        <f t="shared" si="2"/>
        <v>27122585.12</v>
      </c>
      <c r="P21" s="64">
        <f t="shared" si="2"/>
        <v>27478385.12</v>
      </c>
      <c r="Q21" s="64">
        <f t="shared" si="2"/>
        <v>27791931.24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18222371.64</v>
      </c>
      <c r="F22" s="145">
        <f>'Zał.1_WPF_bazowy'!F22</f>
        <v>20586992.47</v>
      </c>
      <c r="G22" s="145">
        <f>'Zał.1_WPF_bazowy'!G22</f>
        <v>22448220.01</v>
      </c>
      <c r="H22" s="171">
        <f>'Zał.1_WPF_bazowy'!H22</f>
        <v>21151338.29</v>
      </c>
      <c r="I22" s="172">
        <f>+'Zał.1_WPF_bazowy'!I22</f>
        <v>23460837.12</v>
      </c>
      <c r="J22" s="173">
        <f>+'Zał.1_WPF_bazowy'!J22</f>
        <v>23903000</v>
      </c>
      <c r="K22" s="173">
        <f>+'Zał.1_WPF_bazowy'!K22</f>
        <v>24380000</v>
      </c>
      <c r="L22" s="173">
        <f>+'Zał.1_WPF_bazowy'!L22</f>
        <v>24868000</v>
      </c>
      <c r="M22" s="173">
        <f>+'Zał.1_WPF_bazowy'!M22</f>
        <v>25366000</v>
      </c>
      <c r="N22" s="173">
        <f>+'Zał.1_WPF_bazowy'!N22</f>
        <v>25619000</v>
      </c>
      <c r="O22" s="173">
        <f>+'Zał.1_WPF_bazowy'!O22</f>
        <v>25876000</v>
      </c>
      <c r="P22" s="173">
        <f>+'Zał.1_WPF_bazowy'!P22</f>
        <v>26135000</v>
      </c>
      <c r="Q22" s="173">
        <f>+'Zał.1_WPF_bazowy'!Q22</f>
        <v>26396000</v>
      </c>
      <c r="R22" s="173" t="e">
        <f>+'Zał.1_WPF_bazowy'!#REF!</f>
        <v>#REF!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 t="e">
        <f>+'Zał.1_WPF_bazowy'!#REF!</f>
        <v>#REF!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 t="e">
        <f>+'Zał.1_WPF_bazowy'!#REF!</f>
        <v>#REF!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 t="e">
        <f>+'Zał.1_WPF_bazowy'!#REF!</f>
        <v>#REF!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296615.41</v>
      </c>
      <c r="F26" s="145">
        <f>'Zał.1_WPF_bazowy'!F26</f>
        <v>244120.23</v>
      </c>
      <c r="G26" s="145">
        <f>'Zał.1_WPF_bazowy'!G26</f>
        <v>315000</v>
      </c>
      <c r="H26" s="171">
        <f>'Zał.1_WPF_bazowy'!H26</f>
        <v>169843.1</v>
      </c>
      <c r="I26" s="172">
        <f>+'Zał.1_WPF_bazowy'!I26</f>
        <v>265000</v>
      </c>
      <c r="J26" s="173">
        <f>+'Zał.1_WPF_bazowy'!J26</f>
        <v>255000</v>
      </c>
      <c r="K26" s="173">
        <f>+'Zał.1_WPF_bazowy'!K26</f>
        <v>244000</v>
      </c>
      <c r="L26" s="173">
        <f>+'Zał.1_WPF_bazowy'!L26</f>
        <v>202000</v>
      </c>
      <c r="M26" s="173">
        <f>+'Zał.1_WPF_bazowy'!M26</f>
        <v>163000</v>
      </c>
      <c r="N26" s="173">
        <f>+'Zał.1_WPF_bazowy'!N26</f>
        <v>130000</v>
      </c>
      <c r="O26" s="173">
        <f>+'Zał.1_WPF_bazowy'!O26</f>
        <v>90000</v>
      </c>
      <c r="P26" s="173">
        <f>+'Zał.1_WPF_bazowy'!P26</f>
        <v>51000</v>
      </c>
      <c r="Q26" s="173">
        <f>+'Zał.1_WPF_bazowy'!Q26</f>
        <v>18000</v>
      </c>
      <c r="R26" s="173" t="e">
        <f>+'Zał.1_WPF_bazowy'!#REF!</f>
        <v>#REF!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294615.41</v>
      </c>
      <c r="F27" s="145">
        <f>'Zał.1_WPF_bazowy'!F27</f>
        <v>244120.23</v>
      </c>
      <c r="G27" s="145">
        <f>'Zał.1_WPF_bazowy'!G27</f>
        <v>300000</v>
      </c>
      <c r="H27" s="171">
        <f>'Zał.1_WPF_bazowy'!H27</f>
        <v>169843.1</v>
      </c>
      <c r="I27" s="172">
        <f>+'Zał.1_WPF_bazowy'!I27</f>
        <v>264000</v>
      </c>
      <c r="J27" s="173">
        <f>+'Zał.1_WPF_bazowy'!J27</f>
        <v>255000</v>
      </c>
      <c r="K27" s="173">
        <f>+'Zał.1_WPF_bazowy'!K27</f>
        <v>244000</v>
      </c>
      <c r="L27" s="173">
        <f>+'Zał.1_WPF_bazowy'!L27</f>
        <v>202000</v>
      </c>
      <c r="M27" s="173">
        <f>+'Zał.1_WPF_bazowy'!M27</f>
        <v>163000</v>
      </c>
      <c r="N27" s="173">
        <f>+'Zał.1_WPF_bazowy'!N27</f>
        <v>130000</v>
      </c>
      <c r="O27" s="173">
        <f>+'Zał.1_WPF_bazowy'!O27</f>
        <v>90000</v>
      </c>
      <c r="P27" s="173">
        <f>+'Zał.1_WPF_bazowy'!P27</f>
        <v>51000</v>
      </c>
      <c r="Q27" s="173">
        <f>+'Zał.1_WPF_bazowy'!Q27</f>
        <v>18000</v>
      </c>
      <c r="R27" s="173" t="e">
        <f>+'Zał.1_WPF_bazowy'!#REF!</f>
        <v>#REF!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 t="e">
        <f>+'Zał.1_WPF_bazowy'!#REF!</f>
        <v>#REF!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 t="e">
        <f>+'Zał.1_WPF_bazowy'!#REF!</f>
        <v>#REF!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1973712.86</v>
      </c>
      <c r="F30" s="145">
        <f>'Zał.1_WPF_bazowy'!F30</f>
        <v>2610372.78</v>
      </c>
      <c r="G30" s="145">
        <f>'Zał.1_WPF_bazowy'!G30</f>
        <v>7863819</v>
      </c>
      <c r="H30" s="171">
        <f>'Zał.1_WPF_bazowy'!H30</f>
        <v>5924761.33</v>
      </c>
      <c r="I30" s="172">
        <f>+'Zał.1_WPF_bazowy'!I30</f>
        <v>3326444</v>
      </c>
      <c r="J30" s="173">
        <f>+'Zał.1_WPF_bazowy'!J30</f>
        <v>767001.12</v>
      </c>
      <c r="K30" s="173">
        <f>+'Zał.1_WPF_bazowy'!K30</f>
        <v>852620.55</v>
      </c>
      <c r="L30" s="173">
        <f>+'Zał.1_WPF_bazowy'!L30</f>
        <v>978585.12</v>
      </c>
      <c r="M30" s="173">
        <f>+'Zał.1_WPF_bazowy'!M30</f>
        <v>1208585.12</v>
      </c>
      <c r="N30" s="173">
        <f>+'Zał.1_WPF_bazowy'!N30</f>
        <v>1227585.12</v>
      </c>
      <c r="O30" s="173">
        <f>+'Zał.1_WPF_bazowy'!O30</f>
        <v>1246585.12</v>
      </c>
      <c r="P30" s="173">
        <f>+'Zał.1_WPF_bazowy'!P30</f>
        <v>1343385.12</v>
      </c>
      <c r="Q30" s="173">
        <f>+'Zał.1_WPF_bazowy'!Q30</f>
        <v>1395931.24</v>
      </c>
      <c r="R30" s="173" t="e">
        <f>+'Zał.1_WPF_bazowy'!#REF!</f>
        <v>#REF!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1414687.04</v>
      </c>
      <c r="F31" s="143">
        <f>'Zał.1_WPF_bazowy'!F31</f>
        <v>866695.31</v>
      </c>
      <c r="G31" s="143">
        <f>'Zał.1_WPF_bazowy'!G31</f>
        <v>-918654</v>
      </c>
      <c r="H31" s="65">
        <f>+H10-H21</f>
        <v>579891.9600000009</v>
      </c>
      <c r="I31" s="63">
        <f>+I10-I21</f>
        <v>947266.879999999</v>
      </c>
      <c r="J31" s="64">
        <f aca="true" t="shared" si="3" ref="J31:AL31">+J10-J21</f>
        <v>996998.879999999</v>
      </c>
      <c r="K31" s="64">
        <f t="shared" si="3"/>
        <v>947379.4499999993</v>
      </c>
      <c r="L31" s="64">
        <f t="shared" si="3"/>
        <v>857414.879999999</v>
      </c>
      <c r="M31" s="64">
        <f t="shared" si="3"/>
        <v>663414.879999999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585614.879999999</v>
      </c>
      <c r="Q31" s="64">
        <f t="shared" si="3"/>
        <v>553068.7600000016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996877.05</v>
      </c>
      <c r="F32" s="143">
        <f>'Zał.1_WPF_bazowy'!F32</f>
        <v>1576429.21</v>
      </c>
      <c r="G32" s="143">
        <f>'Zał.1_WPF_bazowy'!G32</f>
        <v>1824989</v>
      </c>
      <c r="H32" s="65">
        <f>+H33+H35+H37+H39</f>
        <v>2667987.5599999996</v>
      </c>
      <c r="I32" s="63">
        <f>+I33+I35+I37+I39</f>
        <v>0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 t="e">
        <f>+'Zał.1_WPF_bazowy'!#REF!</f>
        <v>#REF!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 t="e">
        <f>+'Zał.1_WPF_bazowy'!#REF!</f>
        <v>#REF!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315881.05</v>
      </c>
      <c r="F35" s="145">
        <f>'Zał.1_WPF_bazowy'!F35</f>
        <v>1576429.21</v>
      </c>
      <c r="G35" s="145">
        <f>'Zał.1_WPF_bazowy'!G35</f>
        <v>523789</v>
      </c>
      <c r="H35" s="171">
        <f>'Zał.1_WPF_bazowy'!H35</f>
        <v>1607989.64</v>
      </c>
      <c r="I35" s="172">
        <f>+'Zał.1_WPF_bazowy'!I35</f>
        <v>0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 t="e">
        <f>+'Zał.1_WPF_bazowy'!#REF!</f>
        <v>#REF!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523789</v>
      </c>
      <c r="H36" s="171">
        <f>'Zał.1_WPF_bazowy'!H36</f>
        <v>0</v>
      </c>
      <c r="I36" s="172">
        <f>+'Zał.1_WPF_bazowy'!I36</f>
        <v>0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 t="e">
        <f>+'Zał.1_WPF_bazowy'!#REF!</f>
        <v>#REF!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500000</v>
      </c>
      <c r="F37" s="145">
        <f>'Zał.1_WPF_bazowy'!F37</f>
        <v>0</v>
      </c>
      <c r="G37" s="145">
        <f>'Zał.1_WPF_bazowy'!G37</f>
        <v>1301200</v>
      </c>
      <c r="H37" s="171">
        <f>'Zał.1_WPF_bazowy'!H37</f>
        <v>1059997.92</v>
      </c>
      <c r="I37" s="172">
        <f>+'Zał.1_WPF_bazowy'!I37</f>
        <v>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 t="e">
        <f>+'Zał.1_WPF_bazowy'!#REF!</f>
        <v>#REF!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161742</v>
      </c>
      <c r="F38" s="145">
        <f>'Zał.1_WPF_bazowy'!F38</f>
        <v>0</v>
      </c>
      <c r="G38" s="145">
        <f>'Zał.1_WPF_bazowy'!G38</f>
        <v>394865</v>
      </c>
      <c r="H38" s="171">
        <f>'Zał.1_WPF_bazowy'!H38</f>
        <v>0</v>
      </c>
      <c r="I38" s="172">
        <f>+'Zał.1_WPF_bazowy'!I38</f>
        <v>0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 t="e">
        <f>+'Zał.1_WPF_bazowy'!#REF!</f>
        <v>#REF!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180996</v>
      </c>
      <c r="F39" s="145">
        <f>'Zał.1_WPF_bazowy'!F39</f>
        <v>0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 t="e">
        <f>+'Zał.1_WPF_bazowy'!#REF!</f>
        <v>#REF!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 t="e">
        <f>+'Zał.1_WPF_bazowy'!#REF!</f>
        <v>#REF!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835134.88</v>
      </c>
      <c r="F41" s="143">
        <f>'Zał.1_WPF_bazowy'!F41</f>
        <v>835134.88</v>
      </c>
      <c r="G41" s="143">
        <f>'Zał.1_WPF_bazowy'!G41</f>
        <v>906335</v>
      </c>
      <c r="H41" s="65">
        <f aca="true" t="shared" si="5" ref="H41:AL41">+H42+H47</f>
        <v>866334.88</v>
      </c>
      <c r="I41" s="63">
        <f t="shared" si="5"/>
        <v>947266.88</v>
      </c>
      <c r="J41" s="64">
        <f t="shared" si="5"/>
        <v>996998.88</v>
      </c>
      <c r="K41" s="64">
        <f t="shared" si="5"/>
        <v>947379.45</v>
      </c>
      <c r="L41" s="64">
        <f t="shared" si="5"/>
        <v>857414.88</v>
      </c>
      <c r="M41" s="64">
        <f t="shared" si="5"/>
        <v>663414.88</v>
      </c>
      <c r="N41" s="64">
        <f t="shared" si="5"/>
        <v>663414.88</v>
      </c>
      <c r="O41" s="64">
        <f t="shared" si="5"/>
        <v>663414.88</v>
      </c>
      <c r="P41" s="64">
        <f t="shared" si="5"/>
        <v>585614.88</v>
      </c>
      <c r="Q41" s="64">
        <f t="shared" si="5"/>
        <v>553068.76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835134.88</v>
      </c>
      <c r="F42" s="145">
        <f>'Zał.1_WPF_bazowy'!F42</f>
        <v>835134.88</v>
      </c>
      <c r="G42" s="145">
        <f>'Zał.1_WPF_bazowy'!G42</f>
        <v>906335</v>
      </c>
      <c r="H42" s="171">
        <f>'Zał.1_WPF_bazowy'!H42</f>
        <v>866334.88</v>
      </c>
      <c r="I42" s="172">
        <f>+'Zał.1_WPF_bazowy'!I42</f>
        <v>947266.88</v>
      </c>
      <c r="J42" s="173">
        <f>+'Zał.1_WPF_bazowy'!J42</f>
        <v>996998.88</v>
      </c>
      <c r="K42" s="173">
        <f>+'Zał.1_WPF_bazowy'!K42</f>
        <v>947379.45</v>
      </c>
      <c r="L42" s="173">
        <f>+'Zał.1_WPF_bazowy'!L42</f>
        <v>857414.88</v>
      </c>
      <c r="M42" s="173">
        <f>+'Zał.1_WPF_bazowy'!M42</f>
        <v>663414.88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585614.88</v>
      </c>
      <c r="Q42" s="173">
        <f>+'Zał.1_WPF_bazowy'!Q42</f>
        <v>553068.76</v>
      </c>
      <c r="R42" s="173" t="e">
        <f>+'Zał.1_WPF_bazowy'!#REF!</f>
        <v>#REF!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 t="e">
        <f t="shared" si="6"/>
        <v>#REF!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 t="e">
        <f>+'Zał.1_WPF_bazowy'!#REF!</f>
        <v>#REF!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 t="e">
        <f>+'Zał.1_WPF_bazowy'!#REF!</f>
        <v>#REF!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 t="e">
        <f>+'Zał.1_WPF_bazowy'!#REF!</f>
        <v>#REF!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0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 t="e">
        <f>+'Zał.1_WPF_bazowy'!#REF!</f>
        <v>#REF!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7519460.21</v>
      </c>
      <c r="F48" s="143">
        <f>'Zał.1_WPF_bazowy'!F48</f>
        <v>6684325.33</v>
      </c>
      <c r="G48" s="143">
        <f>'Zał.1_WPF_bazowy'!G48</f>
        <v>7079190.33</v>
      </c>
      <c r="H48" s="175">
        <f>'Zał.1_WPF_bazowy'!H48</f>
        <v>6877988.37</v>
      </c>
      <c r="I48" s="176">
        <f aca="true" t="shared" si="7" ref="I48:AL48">+IF(I10&lt;&gt;0,H48+I37-I42+(I105-H105)+I110,0)</f>
        <v>5930721.49</v>
      </c>
      <c r="J48" s="177">
        <f t="shared" si="7"/>
        <v>4933722.61</v>
      </c>
      <c r="K48" s="177">
        <f t="shared" si="7"/>
        <v>3986343.16</v>
      </c>
      <c r="L48" s="177">
        <f t="shared" si="7"/>
        <v>3128928.2800000003</v>
      </c>
      <c r="M48" s="177">
        <f t="shared" si="7"/>
        <v>2465513.4000000004</v>
      </c>
      <c r="N48" s="177">
        <f t="shared" si="7"/>
        <v>1802098.5200000005</v>
      </c>
      <c r="O48" s="177">
        <f t="shared" si="7"/>
        <v>1138683.6400000006</v>
      </c>
      <c r="P48" s="177">
        <f t="shared" si="7"/>
        <v>553068.7600000006</v>
      </c>
      <c r="Q48" s="177">
        <f t="shared" si="7"/>
        <v>5.820766091346741E-10</v>
      </c>
      <c r="R48" s="177" t="e">
        <f t="shared" si="7"/>
        <v>#REF!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 t="e">
        <f>+'Zał.1_WPF_bazowy'!#REF!</f>
        <v>#REF!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1780171.21</v>
      </c>
      <c r="F51" s="145">
        <f>'Zał.1_WPF_bazowy'!F51</f>
        <v>2333422.47</v>
      </c>
      <c r="G51" s="145">
        <f>'Zał.1_WPF_bazowy'!G51</f>
        <v>1527759.64</v>
      </c>
      <c r="H51" s="112">
        <f aca="true" t="shared" si="8" ref="H51:AL51">+H11-H22</f>
        <v>3765999.539999999</v>
      </c>
      <c r="I51" s="110">
        <f t="shared" si="8"/>
        <v>1740167.879999999</v>
      </c>
      <c r="J51" s="111">
        <f t="shared" si="8"/>
        <v>1764000</v>
      </c>
      <c r="K51" s="111">
        <f t="shared" si="8"/>
        <v>1800000</v>
      </c>
      <c r="L51" s="111">
        <f t="shared" si="8"/>
        <v>1836000</v>
      </c>
      <c r="M51" s="111">
        <f t="shared" si="8"/>
        <v>1872000</v>
      </c>
      <c r="N51" s="111">
        <f t="shared" si="8"/>
        <v>1891000</v>
      </c>
      <c r="O51" s="111">
        <f t="shared" si="8"/>
        <v>1910000</v>
      </c>
      <c r="P51" s="111">
        <f t="shared" si="8"/>
        <v>1929000</v>
      </c>
      <c r="Q51" s="111">
        <f t="shared" si="8"/>
        <v>1949000</v>
      </c>
      <c r="R51" s="111" t="e">
        <f t="shared" si="8"/>
        <v>#REF!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2096052.2600000016</v>
      </c>
      <c r="F52" s="145">
        <f t="shared" si="9"/>
        <v>3909851.6800000034</v>
      </c>
      <c r="G52" s="145">
        <f t="shared" si="9"/>
        <v>2051548.6399999969</v>
      </c>
      <c r="H52" s="112">
        <f t="shared" si="9"/>
        <v>5373989.18</v>
      </c>
      <c r="I52" s="110">
        <f t="shared" si="9"/>
        <v>1740167.879999999</v>
      </c>
      <c r="J52" s="111">
        <f t="shared" si="9"/>
        <v>1764000</v>
      </c>
      <c r="K52" s="111">
        <f t="shared" si="9"/>
        <v>1800000</v>
      </c>
      <c r="L52" s="111">
        <f t="shared" si="9"/>
        <v>1836000</v>
      </c>
      <c r="M52" s="111">
        <f t="shared" si="9"/>
        <v>1872000</v>
      </c>
      <c r="N52" s="111">
        <f t="shared" si="9"/>
        <v>1891000</v>
      </c>
      <c r="O52" s="111">
        <f t="shared" si="9"/>
        <v>1910000</v>
      </c>
      <c r="P52" s="111">
        <f t="shared" si="9"/>
        <v>1929000</v>
      </c>
      <c r="Q52" s="111">
        <f t="shared" si="9"/>
        <v>1949000</v>
      </c>
      <c r="R52" s="111" t="e">
        <f t="shared" si="9"/>
        <v>#REF!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0.0523</v>
      </c>
      <c r="F54" s="147">
        <f>'Zał.1_WPF_bazowy'!F54</f>
        <v>0.0448</v>
      </c>
      <c r="G54" s="147">
        <f>'Zał.1_WPF_bazowy'!G54</f>
        <v>0.041</v>
      </c>
      <c r="H54" s="109">
        <f aca="true" t="shared" si="10" ref="H54:AL54">+IF(H10&lt;&gt;0,ROUND((H23+H27+H42)/H10,$K$7+2),"-")</f>
        <v>0.0375</v>
      </c>
      <c r="I54" s="107">
        <f t="shared" si="10"/>
        <v>0.0437</v>
      </c>
      <c r="J54" s="108">
        <f t="shared" si="10"/>
        <v>0.0488</v>
      </c>
      <c r="K54" s="108">
        <f t="shared" si="10"/>
        <v>0.0455</v>
      </c>
      <c r="L54" s="108">
        <f t="shared" si="10"/>
        <v>0.0397</v>
      </c>
      <c r="M54" s="108">
        <f t="shared" si="10"/>
        <v>0.0303</v>
      </c>
      <c r="N54" s="108">
        <f t="shared" si="10"/>
        <v>0.0288</v>
      </c>
      <c r="O54" s="108">
        <f t="shared" si="10"/>
        <v>0.0271</v>
      </c>
      <c r="P54" s="108">
        <f t="shared" si="10"/>
        <v>0.0227</v>
      </c>
      <c r="Q54" s="108">
        <f t="shared" si="10"/>
        <v>0.0201</v>
      </c>
      <c r="R54" s="108" t="e">
        <f t="shared" si="10"/>
        <v>#REF!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0.0523</v>
      </c>
      <c r="F55" s="147">
        <f>'Zał.1_WPF_bazowy'!F55</f>
        <v>0.0448</v>
      </c>
      <c r="G55" s="147">
        <f>'Zał.1_WPF_bazowy'!G55</f>
        <v>0.041</v>
      </c>
      <c r="H55" s="109">
        <f>+IF(H10&lt;&gt;0,ROUND((H23-H24+H27-H28-H29+H42-H43)/(H10-H113),$K$7+2),"-")</f>
        <v>0.0375</v>
      </c>
      <c r="I55" s="107">
        <f aca="true" t="shared" si="11" ref="I55:AL55">+IF(I10&lt;&gt;0,ROUND((I23-I24+I27-I28-I29+I42-I43)/(I10-I113),$K$7+2),"-")</f>
        <v>0.0437</v>
      </c>
      <c r="J55" s="108">
        <f t="shared" si="11"/>
        <v>0.0488</v>
      </c>
      <c r="K55" s="108">
        <f t="shared" si="11"/>
        <v>0.0455</v>
      </c>
      <c r="L55" s="108">
        <f t="shared" si="11"/>
        <v>0.0397</v>
      </c>
      <c r="M55" s="108">
        <f t="shared" si="11"/>
        <v>0.0303</v>
      </c>
      <c r="N55" s="108">
        <f t="shared" si="11"/>
        <v>0.0288</v>
      </c>
      <c r="O55" s="108">
        <f t="shared" si="11"/>
        <v>0.0271</v>
      </c>
      <c r="P55" s="108">
        <f t="shared" si="11"/>
        <v>0.0227</v>
      </c>
      <c r="Q55" s="108">
        <f t="shared" si="11"/>
        <v>0.0201</v>
      </c>
      <c r="R55" s="108" t="e">
        <f t="shared" si="11"/>
        <v>#REF!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1974.02</v>
      </c>
      <c r="G56" s="145">
        <f>'Zał.1_WPF_bazowy'!G56</f>
        <v>3360</v>
      </c>
      <c r="H56" s="171">
        <f>'Zał.1_WPF_bazowy'!H56</f>
        <v>3154.7</v>
      </c>
      <c r="I56" s="172">
        <f>+'Zał.1_WPF_bazowy'!I56</f>
        <v>3480.06</v>
      </c>
      <c r="J56" s="173">
        <f>+'Zał.1_WPF_bazowy'!J56</f>
        <v>0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 t="e">
        <f>+'Zał.1_WPF_bazowy'!#REF!</f>
        <v>#REF!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0.0523</v>
      </c>
      <c r="F57" s="147">
        <f>'Zał.1_WPF_bazowy'!F57</f>
        <v>0.0449</v>
      </c>
      <c r="G57" s="147">
        <f>'Zał.1_WPF_bazowy'!G57</f>
        <v>0.0412</v>
      </c>
      <c r="H57" s="109">
        <f>+IF(H10&lt;&gt;0,ROUND((H23-H24+H27-H28-H29+H42-H43+H56)/(H10-H113),$K$7+2),"-")</f>
        <v>0.0376</v>
      </c>
      <c r="I57" s="107">
        <f aca="true" t="shared" si="12" ref="I57:AL57">+IF(I10&lt;&gt;0,ROUND((I23-I24+I27-I28-I29+I42-I43+I56)/(I10-I113),$K$7+2),"-")</f>
        <v>0.0438</v>
      </c>
      <c r="J57" s="108">
        <f t="shared" si="12"/>
        <v>0.0488</v>
      </c>
      <c r="K57" s="108">
        <f t="shared" si="12"/>
        <v>0.0455</v>
      </c>
      <c r="L57" s="108">
        <f t="shared" si="12"/>
        <v>0.0397</v>
      </c>
      <c r="M57" s="108">
        <f t="shared" si="12"/>
        <v>0.0303</v>
      </c>
      <c r="N57" s="108">
        <f t="shared" si="12"/>
        <v>0.0288</v>
      </c>
      <c r="O57" s="108">
        <f t="shared" si="12"/>
        <v>0.0271</v>
      </c>
      <c r="P57" s="108">
        <f t="shared" si="12"/>
        <v>0.0227</v>
      </c>
      <c r="Q57" s="108">
        <f t="shared" si="12"/>
        <v>0.0201</v>
      </c>
      <c r="R57" s="108" t="e">
        <f t="shared" si="12"/>
        <v>#REF!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0.1023</v>
      </c>
      <c r="F58" s="108">
        <f aca="true" t="shared" si="13" ref="F58:AL58">+ROUND(IF(AND(F9&gt;=2013,F9&lt;=2018),IF(F10&lt;&gt;0,(F11-F113+F19-F22+F25+F114)/(F10-F113),0),IF(F10&lt;&gt;0,(F11-F113+F19-F22+F114)/(F10-F113),0)),$K$7+2)</f>
        <v>0.1416</v>
      </c>
      <c r="G58" s="108">
        <f t="shared" si="13"/>
        <v>0.1471</v>
      </c>
      <c r="H58" s="109">
        <f t="shared" si="13"/>
        <v>0.1364</v>
      </c>
      <c r="I58" s="107">
        <f t="shared" si="13"/>
        <v>0.1434</v>
      </c>
      <c r="J58" s="108">
        <f t="shared" si="13"/>
        <v>0.0687</v>
      </c>
      <c r="K58" s="108">
        <f t="shared" si="13"/>
        <v>0.0688</v>
      </c>
      <c r="L58" s="108">
        <f t="shared" si="13"/>
        <v>0.0688</v>
      </c>
      <c r="M58" s="108">
        <f t="shared" si="13"/>
        <v>0.0687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0.0688</v>
      </c>
      <c r="R58" s="108" t="e">
        <f t="shared" si="13"/>
        <v>#REF!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0.13033333333333333</v>
      </c>
      <c r="J59" s="108">
        <f>+IF(J10&lt;&gt;0,(I58+G58+F58)/3,"-")</f>
        <v>0.14403333333333332</v>
      </c>
      <c r="K59" s="108">
        <f>+IF(K10&lt;&gt;0,(J58+I58+G58)/3,"-")</f>
        <v>0.11973333333333334</v>
      </c>
      <c r="L59" s="108">
        <f aca="true" t="shared" si="14" ref="L59:AL59">+IF(L10&lt;&gt;0,(K58+J58+I58)/3,"-")</f>
        <v>0.09363333333333335</v>
      </c>
      <c r="M59" s="108">
        <f t="shared" si="14"/>
        <v>0.06876666666666666</v>
      </c>
      <c r="N59" s="108">
        <f t="shared" si="14"/>
        <v>0.06876666666666667</v>
      </c>
      <c r="O59" s="108">
        <f t="shared" si="14"/>
        <v>0.06873333333333333</v>
      </c>
      <c r="P59" s="108">
        <f t="shared" si="14"/>
        <v>0.0687</v>
      </c>
      <c r="Q59" s="108">
        <f t="shared" si="14"/>
        <v>0.0687</v>
      </c>
      <c r="R59" s="108" t="e">
        <f t="shared" si="14"/>
        <v>#REF!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0.1268</v>
      </c>
      <c r="J60" s="108">
        <f>+IF(J10&lt;&gt;0,ROUND((I58+H58+F58)/3,$K$7+2),"-")</f>
        <v>0.1405</v>
      </c>
      <c r="K60" s="108">
        <f aca="true" t="shared" si="15" ref="K60:AL60">+IF(K10&lt;&gt;0,ROUND((J58+I58+H58)/3,$K$7+2),"-")</f>
        <v>0.1162</v>
      </c>
      <c r="L60" s="108">
        <f t="shared" si="15"/>
        <v>0.0936</v>
      </c>
      <c r="M60" s="108">
        <f t="shared" si="15"/>
        <v>0.0688</v>
      </c>
      <c r="N60" s="108">
        <f t="shared" si="15"/>
        <v>0.0688</v>
      </c>
      <c r="O60" s="108">
        <f t="shared" si="15"/>
        <v>0.0687</v>
      </c>
      <c r="P60" s="108">
        <f t="shared" si="15"/>
        <v>0.0687</v>
      </c>
      <c r="Q60" s="108">
        <f t="shared" si="15"/>
        <v>0.0687</v>
      </c>
      <c r="R60" s="108" t="e">
        <f t="shared" si="15"/>
        <v>#REF!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e">
        <f t="shared" si="16"/>
        <v>#REF!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e">
        <f t="shared" si="17"/>
        <v>#REF!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947266.88</v>
      </c>
      <c r="J63" s="180">
        <f>+'Zał.1_WPF_bazowy'!J63</f>
        <v>996998.88</v>
      </c>
      <c r="K63" s="180">
        <f>+'Zał.1_WPF_bazowy'!K63</f>
        <v>947379.45</v>
      </c>
      <c r="L63" s="180">
        <f>+'Zał.1_WPF_bazowy'!L63</f>
        <v>857414.88</v>
      </c>
      <c r="M63" s="180">
        <f>+'Zał.1_WPF_bazowy'!M63</f>
        <v>663414.88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585614.88</v>
      </c>
      <c r="Q63" s="180">
        <f>+'Zał.1_WPF_bazowy'!Q63</f>
        <v>553068.76</v>
      </c>
      <c r="R63" s="180" t="e">
        <f>+'Zał.1_WPF_bazowy'!#REF!</f>
        <v>#REF!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947266.88</v>
      </c>
      <c r="J64" s="173">
        <f>+'Zał.1_WPF_bazowy'!J64</f>
        <v>996998.88</v>
      </c>
      <c r="K64" s="173">
        <f>+'Zał.1_WPF_bazowy'!K64</f>
        <v>947379.45</v>
      </c>
      <c r="L64" s="173">
        <f>+'Zał.1_WPF_bazowy'!L64</f>
        <v>857414.88</v>
      </c>
      <c r="M64" s="173">
        <f>+'Zał.1_WPF_bazowy'!M64</f>
        <v>663414.88</v>
      </c>
      <c r="N64" s="173">
        <f>+'Zał.1_WPF_bazowy'!N64</f>
        <v>663410.88</v>
      </c>
      <c r="O64" s="173">
        <f>+'Zał.1_WPF_bazowy'!O64</f>
        <v>663414.88</v>
      </c>
      <c r="P64" s="173">
        <f>+'Zał.1_WPF_bazowy'!P64</f>
        <v>585614.88</v>
      </c>
      <c r="Q64" s="173">
        <f>+'Zał.1_WPF_bazowy'!Q64</f>
        <v>553068.76</v>
      </c>
      <c r="R64" s="173" t="e">
        <f>+'Zał.1_WPF_bazowy'!#REF!</f>
        <v>#REF!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7505361.2</v>
      </c>
      <c r="F66" s="145">
        <f>'Zał.1_WPF_bazowy'!F66</f>
        <v>8034716.42</v>
      </c>
      <c r="G66" s="145">
        <f>'Zał.1_WPF_bazowy'!G66</f>
        <v>8776149.03</v>
      </c>
      <c r="H66" s="171">
        <f>'Zał.1_WPF_bazowy'!H66</f>
        <v>8488679.4</v>
      </c>
      <c r="I66" s="172">
        <f>+'Zał.1_WPF_bazowy'!I66</f>
        <v>9525018</v>
      </c>
      <c r="J66" s="173">
        <f>+'Zał.1_WPF_bazowy'!J66</f>
        <v>9700000</v>
      </c>
      <c r="K66" s="173">
        <f>+'Zał.1_WPF_bazowy'!K66</f>
        <v>9894000</v>
      </c>
      <c r="L66" s="173">
        <f>+'Zał.1_WPF_bazowy'!L66</f>
        <v>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 t="e">
        <f>+'Zał.1_WPF_bazowy'!#REF!</f>
        <v>#REF!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1729396.38</v>
      </c>
      <c r="F67" s="145">
        <f>'Zał.1_WPF_bazowy'!F67</f>
        <v>1756657.84</v>
      </c>
      <c r="G67" s="145">
        <f>'Zał.1_WPF_bazowy'!G67</f>
        <v>1925070</v>
      </c>
      <c r="H67" s="171">
        <f>'Zał.1_WPF_bazowy'!H67</f>
        <v>1825082.17</v>
      </c>
      <c r="I67" s="172">
        <f>+'Zał.1_WPF_bazowy'!I67</f>
        <v>2230738</v>
      </c>
      <c r="J67" s="173">
        <f>+'Zał.1_WPF_bazowy'!J67</f>
        <v>2277000</v>
      </c>
      <c r="K67" s="173">
        <f>+'Zał.1_WPF_bazowy'!K67</f>
        <v>2323000</v>
      </c>
      <c r="L67" s="173">
        <f>+'Zał.1_WPF_bazowy'!L67</f>
        <v>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 t="e">
        <f>+'Zał.1_WPF_bazowy'!#REF!</f>
        <v>#REF!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372811.52</v>
      </c>
      <c r="F68" s="145">
        <f>'Zał.1_WPF_bazowy'!F68</f>
        <v>232825.56</v>
      </c>
      <c r="G68" s="145">
        <f>'Zał.1_WPF_bazowy'!G68</f>
        <v>230332</v>
      </c>
      <c r="H68" s="112">
        <f>+H69+H70</f>
        <v>180696.05</v>
      </c>
      <c r="I68" s="110">
        <f>+I69+I70</f>
        <v>205031</v>
      </c>
      <c r="J68" s="111">
        <f aca="true" t="shared" si="18" ref="J68:AL68">+J69+J70</f>
        <v>400000</v>
      </c>
      <c r="K68" s="111">
        <f t="shared" si="18"/>
        <v>700000</v>
      </c>
      <c r="L68" s="111">
        <f t="shared" si="18"/>
        <v>700000</v>
      </c>
      <c r="M68" s="111">
        <f t="shared" si="18"/>
        <v>600000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 t="e">
        <f t="shared" si="18"/>
        <v>#REF!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304992</v>
      </c>
      <c r="F69" s="145">
        <f>'Zał.1_WPF_bazowy'!F69</f>
        <v>145439.16</v>
      </c>
      <c r="G69" s="145">
        <f>'Zał.1_WPF_bazowy'!G69</f>
        <v>163332</v>
      </c>
      <c r="H69" s="171">
        <f>'Zał.1_WPF_bazowy'!H69</f>
        <v>114083</v>
      </c>
      <c r="I69" s="172">
        <f>+'Zał.1_WPF_bazowy'!I69</f>
        <v>147959</v>
      </c>
      <c r="J69" s="173">
        <f>+'Zał.1_WPF_bazowy'!J69</f>
        <v>100000</v>
      </c>
      <c r="K69" s="173">
        <f>+'Zał.1_WPF_bazowy'!K69</f>
        <v>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 t="e">
        <f>+'Zał.1_WPF_bazowy'!#REF!</f>
        <v>#REF!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67819.52</v>
      </c>
      <c r="F70" s="145">
        <f>'Zał.1_WPF_bazowy'!F70</f>
        <v>87386.4</v>
      </c>
      <c r="G70" s="145">
        <f>'Zał.1_WPF_bazowy'!G70</f>
        <v>67000</v>
      </c>
      <c r="H70" s="171">
        <f>'Zał.1_WPF_bazowy'!H70</f>
        <v>66613.05</v>
      </c>
      <c r="I70" s="172">
        <f>+'Zał.1_WPF_bazowy'!I70</f>
        <v>57072</v>
      </c>
      <c r="J70" s="173">
        <f>+'Zał.1_WPF_bazowy'!J70</f>
        <v>300000</v>
      </c>
      <c r="K70" s="173">
        <f>+'Zał.1_WPF_bazowy'!K70</f>
        <v>700000</v>
      </c>
      <c r="L70" s="173">
        <f>+'Zał.1_WPF_bazowy'!L70</f>
        <v>700000</v>
      </c>
      <c r="M70" s="173">
        <f>+'Zał.1_WPF_bazowy'!M70</f>
        <v>600000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 t="e">
        <f>+'Zał.1_WPF_bazowy'!#REF!</f>
        <v>#REF!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222563.28</v>
      </c>
      <c r="F71" s="145">
        <f>'Zał.1_WPF_bazowy'!F71</f>
        <v>210362.29</v>
      </c>
      <c r="G71" s="145">
        <f>'Zał.1_WPF_bazowy'!G71</f>
        <v>22261</v>
      </c>
      <c r="H71" s="171">
        <f>'Zał.1_WPF_bazowy'!H71</f>
        <v>12077.36</v>
      </c>
      <c r="I71" s="172">
        <f>+'Zał.1_WPF_bazowy'!I71</f>
        <v>11080</v>
      </c>
      <c r="J71" s="173">
        <f>+'Zał.1_WPF_bazowy'!J71</f>
        <v>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 t="e">
        <f>+'Zał.1_WPF_bazowy'!#REF!</f>
        <v>#REF!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1470249.12</v>
      </c>
      <c r="F72" s="145">
        <f>'Zał.1_WPF_bazowy'!F72</f>
        <v>1909753</v>
      </c>
      <c r="G72" s="145">
        <f>'Zał.1_WPF_bazowy'!G72</f>
        <v>5138558</v>
      </c>
      <c r="H72" s="171">
        <f>'Zał.1_WPF_bazowy'!H72</f>
        <v>4088240.33</v>
      </c>
      <c r="I72" s="172">
        <f>+'Zał.1_WPF_bazowy'!I72</f>
        <v>1341916</v>
      </c>
      <c r="J72" s="173">
        <f>+'Zał.1_WPF_bazowy'!J72</f>
        <v>767001.12</v>
      </c>
      <c r="K72" s="173">
        <f>+'Zał.1_WPF_bazowy'!K72</f>
        <v>852620.55</v>
      </c>
      <c r="L72" s="173">
        <f>+'Zał.1_WPF_bazowy'!L72</f>
        <v>978585.12</v>
      </c>
      <c r="M72" s="173">
        <f>+'Zał.1_WPF_bazowy'!M72</f>
        <v>1208585.12</v>
      </c>
      <c r="N72" s="173">
        <f>+'Zał.1_WPF_bazowy'!N72</f>
        <v>1227585.12</v>
      </c>
      <c r="O72" s="173">
        <f>+'Zał.1_WPF_bazowy'!O72</f>
        <v>1246585.12</v>
      </c>
      <c r="P72" s="173">
        <f>+'Zał.1_WPF_bazowy'!P72</f>
        <v>1343385.12</v>
      </c>
      <c r="Q72" s="173">
        <f>+'Zał.1_WPF_bazowy'!Q72</f>
        <v>1394939.16</v>
      </c>
      <c r="R72" s="173" t="e">
        <f>+'Zał.1_WPF_bazowy'!#REF!</f>
        <v>#REF!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291570.24</v>
      </c>
      <c r="F73" s="145">
        <f>'Zał.1_WPF_bazowy'!F73</f>
        <v>402870.84</v>
      </c>
      <c r="G73" s="145">
        <f>'Zał.1_WPF_bazowy'!G73</f>
        <v>2600000</v>
      </c>
      <c r="H73" s="171">
        <f>'Zał.1_WPF_bazowy'!H73</f>
        <v>1727203.4</v>
      </c>
      <c r="I73" s="172">
        <f>+'Zał.1_WPF_bazowy'!I73</f>
        <v>1973448</v>
      </c>
      <c r="J73" s="173">
        <f>+'Zał.1_WPF_bazowy'!J73</f>
        <v>0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 t="e">
        <f>+'Zał.1_WPF_bazowy'!#REF!</f>
        <v>#REF!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242895.07</v>
      </c>
      <c r="F75" s="145">
        <f>'Zał.1_WPF_bazowy'!F75</f>
        <v>0</v>
      </c>
      <c r="G75" s="145">
        <f>'Zał.1_WPF_bazowy'!G75</f>
        <v>0</v>
      </c>
      <c r="H75" s="171">
        <f>'Zał.1_WPF_bazowy'!H75</f>
        <v>0</v>
      </c>
      <c r="I75" s="172">
        <f>+'Zał.1_WPF_bazowy'!I75</f>
        <v>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 t="e">
        <f>+'Zał.1_WPF_bazowy'!#REF!</f>
        <v>#REF!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240476.44</v>
      </c>
      <c r="F76" s="145">
        <f>'Zał.1_WPF_bazowy'!F76</f>
        <v>0</v>
      </c>
      <c r="G76" s="145">
        <f>'Zał.1_WPF_bazowy'!G76</f>
        <v>0</v>
      </c>
      <c r="H76" s="171">
        <f>'Zał.1_WPF_bazowy'!H76</f>
        <v>0</v>
      </c>
      <c r="I76" s="172">
        <f>+'Zał.1_WPF_bazowy'!I76</f>
        <v>0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 t="e">
        <f>+'Zał.1_WPF_bazowy'!#REF!</f>
        <v>#REF!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240476.44</v>
      </c>
      <c r="F77" s="145">
        <f>'Zał.1_WPF_bazowy'!F77</f>
        <v>0</v>
      </c>
      <c r="G77" s="145">
        <f>'Zał.1_WPF_bazowy'!G77</f>
        <v>0</v>
      </c>
      <c r="H77" s="171">
        <f>'Zał.1_WPF_bazowy'!H77</f>
        <v>0</v>
      </c>
      <c r="I77" s="172">
        <f>+'Zał.1_WPF_bazowy'!I77</f>
        <v>0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 t="e">
        <f>+'Zał.1_WPF_bazowy'!#REF!</f>
        <v>#REF!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1033395.39</v>
      </c>
      <c r="F78" s="145">
        <f>'Zał.1_WPF_bazowy'!F78</f>
        <v>0</v>
      </c>
      <c r="G78" s="145">
        <f>'Zał.1_WPF_bazowy'!G78</f>
        <v>2580611</v>
      </c>
      <c r="H78" s="171">
        <f>'Zał.1_WPF_bazowy'!H78</f>
        <v>2621210.24</v>
      </c>
      <c r="I78" s="172">
        <f>+'Zał.1_WPF_bazowy'!I78</f>
        <v>0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 t="e">
        <f>+'Zał.1_WPF_bazowy'!#REF!</f>
        <v>#REF!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1033395.39</v>
      </c>
      <c r="F79" s="145">
        <f>'Zał.1_WPF_bazowy'!F79</f>
        <v>0</v>
      </c>
      <c r="G79" s="145">
        <f>'Zał.1_WPF_bazowy'!G79</f>
        <v>2318537</v>
      </c>
      <c r="H79" s="171">
        <f>'Zał.1_WPF_bazowy'!H79</f>
        <v>2363748.86</v>
      </c>
      <c r="I79" s="172">
        <f>+'Zał.1_WPF_bazowy'!I79</f>
        <v>0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 t="e">
        <f>+'Zał.1_WPF_bazowy'!#REF!</f>
        <v>#REF!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1033395.39</v>
      </c>
      <c r="F80" s="145">
        <f>'Zał.1_WPF_bazowy'!F80</f>
        <v>0</v>
      </c>
      <c r="G80" s="145">
        <f>'Zał.1_WPF_bazowy'!G80</f>
        <v>2318537</v>
      </c>
      <c r="H80" s="171">
        <f>'Zał.1_WPF_bazowy'!H80</f>
        <v>2363748.86</v>
      </c>
      <c r="I80" s="172">
        <f>+'Zał.1_WPF_bazowy'!I80</f>
        <v>0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 t="e">
        <f>+'Zał.1_WPF_bazowy'!#REF!</f>
        <v>#REF!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56716.48</v>
      </c>
      <c r="F81" s="145">
        <f>'Zał.1_WPF_bazowy'!F81</f>
        <v>44749.82</v>
      </c>
      <c r="G81" s="145">
        <f>'Zał.1_WPF_bazowy'!G81</f>
        <v>23500</v>
      </c>
      <c r="H81" s="171">
        <f>'Zał.1_WPF_bazowy'!H81</f>
        <v>26334.29</v>
      </c>
      <c r="I81" s="172">
        <f>+'Zał.1_WPF_bazowy'!I81</f>
        <v>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 t="e">
        <f>+'Zał.1_WPF_bazowy'!#REF!</f>
        <v>#REF!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48657.8</v>
      </c>
      <c r="F82" s="145">
        <f>'Zał.1_WPF_bazowy'!F82</f>
        <v>44749.82</v>
      </c>
      <c r="G82" s="145">
        <f>'Zał.1_WPF_bazowy'!G82</f>
        <v>23500</v>
      </c>
      <c r="H82" s="171">
        <f>'Zał.1_WPF_bazowy'!H82</f>
        <v>24068.84</v>
      </c>
      <c r="I82" s="172">
        <f>+'Zał.1_WPF_bazowy'!I82</f>
        <v>0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 t="e">
        <f>+'Zał.1_WPF_bazowy'!#REF!</f>
        <v>#REF!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48657.8</v>
      </c>
      <c r="F83" s="145">
        <f>'Zał.1_WPF_bazowy'!F83</f>
        <v>44749.82</v>
      </c>
      <c r="G83" s="145">
        <f>'Zał.1_WPF_bazowy'!G83</f>
        <v>23500</v>
      </c>
      <c r="H83" s="171">
        <f>'Zał.1_WPF_bazowy'!H83</f>
        <v>24068.84</v>
      </c>
      <c r="I83" s="172">
        <f>+'Zał.1_WPF_bazowy'!I83</f>
        <v>0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 t="e">
        <f>+'Zał.1_WPF_bazowy'!#REF!</f>
        <v>#REF!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70482.92</v>
      </c>
      <c r="F84" s="145">
        <f>'Zał.1_WPF_bazowy'!F84</f>
        <v>18450</v>
      </c>
      <c r="G84" s="145">
        <f>'Zał.1_WPF_bazowy'!G84</f>
        <v>3189138</v>
      </c>
      <c r="H84" s="171">
        <f>'Zał.1_WPF_bazowy'!H84</f>
        <v>3164118.04</v>
      </c>
      <c r="I84" s="172">
        <f>+'Zał.1_WPF_bazowy'!I84</f>
        <v>0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 t="e">
        <f>+'Zał.1_WPF_bazowy'!#REF!</f>
        <v>#REF!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63397.5</v>
      </c>
      <c r="F85" s="145">
        <f>'Zał.1_WPF_bazowy'!F85</f>
        <v>10455</v>
      </c>
      <c r="G85" s="145">
        <f>'Zał.1_WPF_bazowy'!G85</f>
        <v>2504908</v>
      </c>
      <c r="H85" s="171">
        <f>'Zał.1_WPF_bazowy'!H85</f>
        <v>2420241.3</v>
      </c>
      <c r="I85" s="172">
        <f>+'Zał.1_WPF_bazowy'!I85</f>
        <v>0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 t="e">
        <f>+'Zał.1_WPF_bazowy'!#REF!</f>
        <v>#REF!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63397.5</v>
      </c>
      <c r="F86" s="145">
        <f>'Zał.1_WPF_bazowy'!F86</f>
        <v>10455</v>
      </c>
      <c r="G86" s="145">
        <f>'Zał.1_WPF_bazowy'!G86</f>
        <v>2504908</v>
      </c>
      <c r="H86" s="171">
        <f>'Zał.1_WPF_bazowy'!H86</f>
        <v>2420241.3</v>
      </c>
      <c r="I86" s="172">
        <f>+'Zał.1_WPF_bazowy'!I86</f>
        <v>0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 t="e">
        <f>+'Zał.1_WPF_bazowy'!#REF!</f>
        <v>#REF!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7995</v>
      </c>
      <c r="G87" s="145">
        <f>'Zał.1_WPF_bazowy'!G87</f>
        <v>684230</v>
      </c>
      <c r="H87" s="171">
        <f>'Zał.1_WPF_bazowy'!H87</f>
        <v>743876.74</v>
      </c>
      <c r="I87" s="172">
        <f>+'Zał.1_WPF_bazowy'!I87</f>
        <v>0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 t="e">
        <f>+'Zał.1_WPF_bazowy'!#REF!</f>
        <v>#REF!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7995</v>
      </c>
      <c r="G88" s="145">
        <f>'Zał.1_WPF_bazowy'!G88</f>
        <v>684230</v>
      </c>
      <c r="H88" s="171">
        <f>'Zał.1_WPF_bazowy'!H88</f>
        <v>743876.74</v>
      </c>
      <c r="I88" s="172">
        <f>+'Zał.1_WPF_bazowy'!I88</f>
        <v>0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 t="e">
        <f>+'Zał.1_WPF_bazowy'!#REF!</f>
        <v>#REF!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602803.18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 t="e">
        <f>+'Zał.1_WPF_bazowy'!#REF!</f>
        <v>#REF!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602803.18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 t="e">
        <f>+'Zał.1_WPF_bazowy'!#REF!</f>
        <v>#REF!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 t="e">
        <f>+'Zał.1_WPF_bazowy'!#REF!</f>
        <v>#REF!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 t="e">
        <f>+'Zał.1_WPF_bazowy'!#REF!</f>
        <v>#REF!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 t="e">
        <f>+'Zał.1_WPF_bazowy'!#REF!</f>
        <v>#REF!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 t="e">
        <f>+'Zał.1_WPF_bazowy'!#REF!</f>
        <v>#REF!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 t="e">
        <f t="shared" si="19"/>
        <v>#REF!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 t="e">
        <f>+'Zał.1_WPF_bazowy'!#REF!</f>
        <v>#REF!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 t="e">
        <f>+'Zał.1_WPF_bazowy'!#REF!</f>
        <v>#REF!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 t="e">
        <f>+'Zał.1_WPF_bazowy'!#REF!</f>
        <v>#REF!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 t="e">
        <f>+'Zał.1_WPF_bazowy'!#REF!</f>
        <v>#REF!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 t="e">
        <f>+'Zał.1_WPF_bazowy'!#REF!</f>
        <v>#REF!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 t="e">
        <f>+'Zał.1_WPF_bazowy'!#REF!</f>
        <v>#REF!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835134.88</v>
      </c>
      <c r="F104" s="145">
        <f>'Zał.1_WPF_bazowy'!F104</f>
        <v>835134.88</v>
      </c>
      <c r="G104" s="145">
        <f>'Zał.1_WPF_bazowy'!G104</f>
        <v>866334.88</v>
      </c>
      <c r="H104" s="171">
        <f>'Zał.1_WPF_bazowy'!H104</f>
        <v>866334.88</v>
      </c>
      <c r="I104" s="172">
        <f>+'Zał.1_WPF_bazowy'!I104</f>
        <v>947266.88</v>
      </c>
      <c r="J104" s="173">
        <f>+'Zał.1_WPF_bazowy'!J104</f>
        <v>996998.88</v>
      </c>
      <c r="K104" s="173">
        <f>+'Zał.1_WPF_bazowy'!K104</f>
        <v>947379.45</v>
      </c>
      <c r="L104" s="173">
        <f>+'Zał.1_WPF_bazowy'!L104</f>
        <v>857414.88</v>
      </c>
      <c r="M104" s="173">
        <f>+'Zał.1_WPF_bazowy'!M104</f>
        <v>663414.88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585614.88</v>
      </c>
      <c r="Q104" s="173">
        <f>+'Zał.1_WPF_bazowy'!Q104</f>
        <v>553068.76</v>
      </c>
      <c r="R104" s="173" t="e">
        <f>+'Zał.1_WPF_bazowy'!#REF!</f>
        <v>#REF!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 t="e">
        <f>+'Zał.1_WPF_bazowy'!#REF!</f>
        <v>#REF!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 t="e">
        <f>+'Zał.1_WPF_bazowy'!#REF!</f>
        <v>#REF!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 t="e">
        <f>+'Zał.1_WPF_bazowy'!#REF!</f>
        <v>#REF!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 t="e">
        <f>+'Zał.1_WPF_bazowy'!#REF!</f>
        <v>#REF!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 t="e">
        <f>+'Zał.1_WPF_bazowy'!#REF!</f>
        <v>#REF!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 t="e">
        <f>+'Zał.1_WPF_bazowy'!#REF!</f>
        <v>#REF!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 t="e">
        <f>+'Zał.1_WPF_bazowy'!#REF!</f>
        <v>#REF!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 t="e">
        <f>+'Zał.1_WPF_bazowy'!#REF!</f>
        <v>#REF!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 t="e">
        <f>+'Zał.1_WPF_bazowy'!#REF!</f>
        <v>#REF!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 t="e">
        <f t="shared" si="21"/>
        <v>#REF!</v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 t="e">
        <f t="shared" si="22"/>
        <v>#REF!</v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e">
        <f t="shared" si="23"/>
        <v>#REF!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e">
        <f t="shared" si="24"/>
        <v>#REF!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e">
        <f t="shared" si="25"/>
        <v>#REF!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e">
        <f t="shared" si="26"/>
        <v>#REF!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e">
        <f t="shared" si="27"/>
        <v>#REF!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e">
        <f t="shared" si="28"/>
        <v>#REF!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N/D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e">
        <f t="shared" si="29"/>
        <v>#REF!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OK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e">
        <f t="shared" si="30"/>
        <v>#REF!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e">
        <f t="shared" si="31"/>
        <v>#REF!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e">
        <f t="shared" si="32"/>
        <v>#REF!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e">
        <f t="shared" si="33"/>
        <v>#REF!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e">
        <f t="shared" si="34"/>
        <v>#REF!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e">
        <f t="shared" si="35"/>
        <v>#REF!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e">
        <f t="shared" si="36"/>
        <v>#REF!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e">
        <f t="shared" si="37"/>
        <v>#REF!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Błąd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Błąd</v>
      </c>
      <c r="R144" s="203" t="e">
        <f t="shared" si="38"/>
        <v>#REF!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e">
        <f t="shared" si="39"/>
        <v>#REF!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OK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e">
        <f t="shared" si="40"/>
        <v>#REF!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e">
        <f t="shared" si="41"/>
        <v>#REF!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e">
        <f t="shared" si="42"/>
        <v>#REF!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e">
        <f t="shared" si="43"/>
        <v>#REF!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e">
        <f t="shared" si="44"/>
        <v>#REF!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e">
        <f t="shared" si="45"/>
        <v>#REF!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e">
        <f t="shared" si="46"/>
        <v>#REF!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e">
        <f t="shared" si="47"/>
        <v>#REF!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e">
        <f t="shared" si="48"/>
        <v>#REF!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e">
        <f t="shared" si="49"/>
        <v>#REF!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e">
        <f t="shared" si="50"/>
        <v>#REF!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e">
        <f t="shared" si="51"/>
        <v>#REF!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e">
        <f t="shared" si="52"/>
        <v>#REF!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e">
        <f t="shared" si="53"/>
        <v>#REF!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e">
        <f t="shared" si="54"/>
        <v>#REF!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e">
        <f t="shared" si="55"/>
        <v>#REF!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e">
        <f t="shared" si="56"/>
        <v>#REF!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e">
        <f t="shared" si="57"/>
        <v>#REF!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e">
        <f t="shared" si="58"/>
        <v>#REF!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e">
        <f t="shared" si="59"/>
        <v>#REF!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e">
        <f t="shared" si="60"/>
        <v>#REF!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e">
        <f t="shared" si="61"/>
        <v>#REF!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e">
        <f t="shared" si="62"/>
        <v>#REF!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e">
        <f t="shared" si="63"/>
        <v>#REF!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e">
        <f t="shared" si="64"/>
        <v>#REF!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e">
        <f t="shared" si="65"/>
        <v>#REF!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e">
        <f t="shared" si="66"/>
        <v>#REF!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e">
        <f t="shared" si="67"/>
        <v>#REF!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e">
        <f t="shared" si="68"/>
        <v>#REF!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e">
        <f t="shared" si="69"/>
        <v>#REF!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e">
        <f t="shared" si="70"/>
        <v>#REF!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e">
        <f t="shared" si="71"/>
        <v>#REF!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e">
        <f t="shared" si="72"/>
        <v>#REF!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e">
        <f t="shared" si="73"/>
        <v>#REF!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e">
        <f t="shared" si="74"/>
        <v>#REF!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e">
        <f t="shared" si="75"/>
        <v>#REF!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e">
        <f t="shared" si="76"/>
        <v>#REF!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e">
        <f t="shared" si="77"/>
        <v>#REF!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e">
        <f t="shared" si="78"/>
        <v>#REF!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e">
        <f t="shared" si="79"/>
        <v>#REF!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e">
        <f t="shared" si="80"/>
        <v>#REF!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21610771.540000003</v>
      </c>
      <c r="F189" s="135">
        <f t="shared" si="81"/>
        <v>24064060.560000002</v>
      </c>
      <c r="G189" s="135">
        <f t="shared" si="81"/>
        <v>29393385.009999998</v>
      </c>
      <c r="H189" s="136">
        <f t="shared" si="81"/>
        <v>27655991.58</v>
      </c>
      <c r="I189" s="122">
        <f t="shared" si="81"/>
        <v>27734548</v>
      </c>
      <c r="J189" s="123">
        <f t="shared" si="81"/>
        <v>25667000</v>
      </c>
      <c r="K189" s="123">
        <f t="shared" si="81"/>
        <v>26180000</v>
      </c>
      <c r="L189" s="123">
        <f t="shared" si="81"/>
        <v>26704000</v>
      </c>
      <c r="M189" s="123">
        <f t="shared" si="81"/>
        <v>27238000</v>
      </c>
      <c r="N189" s="123">
        <f t="shared" si="81"/>
        <v>27510000</v>
      </c>
      <c r="O189" s="123">
        <f t="shared" si="81"/>
        <v>27786000</v>
      </c>
      <c r="P189" s="123">
        <f t="shared" si="81"/>
        <v>28064000</v>
      </c>
      <c r="Q189" s="123">
        <f t="shared" si="81"/>
        <v>28345000</v>
      </c>
      <c r="R189" s="123" t="e">
        <f t="shared" si="81"/>
        <v>#REF!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20196084.5</v>
      </c>
      <c r="F190" s="138">
        <f t="shared" si="82"/>
        <v>23197365.25</v>
      </c>
      <c r="G190" s="138">
        <f t="shared" si="82"/>
        <v>30312039.01</v>
      </c>
      <c r="H190" s="139">
        <f t="shared" si="82"/>
        <v>27076099.619999997</v>
      </c>
      <c r="I190" s="126">
        <f t="shared" si="82"/>
        <v>26787281.12</v>
      </c>
      <c r="J190" s="127">
        <f t="shared" si="82"/>
        <v>24670001.12</v>
      </c>
      <c r="K190" s="127">
        <f t="shared" si="82"/>
        <v>25232620.55</v>
      </c>
      <c r="L190" s="127">
        <f t="shared" si="82"/>
        <v>25846585.12</v>
      </c>
      <c r="M190" s="127">
        <f t="shared" si="82"/>
        <v>26574585.12</v>
      </c>
      <c r="N190" s="127">
        <f t="shared" si="82"/>
        <v>26846585.12</v>
      </c>
      <c r="O190" s="127">
        <f t="shared" si="82"/>
        <v>27122585.12</v>
      </c>
      <c r="P190" s="127">
        <f t="shared" si="82"/>
        <v>27478385.12</v>
      </c>
      <c r="Q190" s="127">
        <f t="shared" si="82"/>
        <v>27791931.24</v>
      </c>
      <c r="R190" s="127" t="e">
        <f t="shared" si="82"/>
        <v>#REF!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1414687.039999999</v>
      </c>
      <c r="F191" s="138">
        <f t="shared" si="83"/>
        <v>866695.3099999987</v>
      </c>
      <c r="G191" s="138">
        <f t="shared" si="83"/>
        <v>-918654</v>
      </c>
      <c r="H191" s="139">
        <f t="shared" si="83"/>
        <v>579891.9600000009</v>
      </c>
      <c r="I191" s="126">
        <f t="shared" si="83"/>
        <v>947266.879999999</v>
      </c>
      <c r="J191" s="127">
        <f t="shared" si="83"/>
        <v>996998.879999999</v>
      </c>
      <c r="K191" s="127">
        <f t="shared" si="83"/>
        <v>947379.4499999993</v>
      </c>
      <c r="L191" s="127">
        <f t="shared" si="83"/>
        <v>857414.879999999</v>
      </c>
      <c r="M191" s="127">
        <f t="shared" si="83"/>
        <v>663414.879999999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585614.879999999</v>
      </c>
      <c r="Q191" s="127">
        <f t="shared" si="83"/>
        <v>553068.7600000016</v>
      </c>
      <c r="R191" s="127" t="e">
        <f t="shared" si="83"/>
        <v>#REF!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6877988.37</v>
      </c>
      <c r="I192" s="126">
        <f aca="true" t="shared" si="84" ref="I192:AL192">H48+I37-I42+(I105-H105)+I110</f>
        <v>5930721.49</v>
      </c>
      <c r="J192" s="127">
        <f t="shared" si="84"/>
        <v>4933722.61</v>
      </c>
      <c r="K192" s="127">
        <f t="shared" si="84"/>
        <v>3986343.16</v>
      </c>
      <c r="L192" s="127">
        <f t="shared" si="84"/>
        <v>3128928.2800000003</v>
      </c>
      <c r="M192" s="127">
        <f t="shared" si="84"/>
        <v>2465513.4000000004</v>
      </c>
      <c r="N192" s="127">
        <f t="shared" si="84"/>
        <v>1802098.5200000005</v>
      </c>
      <c r="O192" s="127">
        <f t="shared" si="84"/>
        <v>1138683.6400000006</v>
      </c>
      <c r="P192" s="127">
        <f t="shared" si="84"/>
        <v>553068.7600000006</v>
      </c>
      <c r="Q192" s="127">
        <f t="shared" si="84"/>
        <v>5.820766091346741E-10</v>
      </c>
      <c r="R192" s="127" t="e">
        <f t="shared" si="84"/>
        <v>#REF!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 t="e">
        <f t="shared" si="85"/>
        <v>#REF!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0.08663333333333333</v>
      </c>
      <c r="J200" s="154">
        <f t="shared" si="86"/>
        <v>0.09523333333333331</v>
      </c>
      <c r="K200" s="154">
        <f t="shared" si="86"/>
        <v>0.07423333333333335</v>
      </c>
      <c r="L200" s="154">
        <f t="shared" si="86"/>
        <v>0.05393333333333335</v>
      </c>
      <c r="M200" s="154">
        <f t="shared" si="86"/>
        <v>0.038466666666666656</v>
      </c>
      <c r="N200" s="154">
        <f t="shared" si="86"/>
        <v>0.03996666666666667</v>
      </c>
      <c r="O200" s="154">
        <f t="shared" si="86"/>
        <v>0.04163333333333333</v>
      </c>
      <c r="P200" s="154">
        <f t="shared" si="86"/>
        <v>0.046</v>
      </c>
      <c r="Q200" s="154">
        <f t="shared" si="86"/>
        <v>0.0486</v>
      </c>
      <c r="R200" s="154" t="e">
        <f t="shared" si="86"/>
        <v>#REF!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0.08663333333333333</v>
      </c>
      <c r="J201" s="158">
        <f t="shared" si="87"/>
        <v>0.09523333333333331</v>
      </c>
      <c r="K201" s="158">
        <f t="shared" si="87"/>
        <v>0.07423333333333335</v>
      </c>
      <c r="L201" s="158">
        <f t="shared" si="87"/>
        <v>0.05393333333333335</v>
      </c>
      <c r="M201" s="158">
        <f t="shared" si="87"/>
        <v>0.038466666666666656</v>
      </c>
      <c r="N201" s="158">
        <f t="shared" si="87"/>
        <v>0.03996666666666667</v>
      </c>
      <c r="O201" s="158">
        <f t="shared" si="87"/>
        <v>0.04163333333333333</v>
      </c>
      <c r="P201" s="158">
        <f t="shared" si="87"/>
        <v>0.046</v>
      </c>
      <c r="Q201" s="158">
        <f t="shared" si="87"/>
        <v>0.0486</v>
      </c>
      <c r="R201" s="158" t="e">
        <f t="shared" si="87"/>
        <v>#REF!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0.0831</v>
      </c>
      <c r="J202" s="154">
        <f t="shared" si="88"/>
        <v>0.0917</v>
      </c>
      <c r="K202" s="154">
        <f t="shared" si="88"/>
        <v>0.0707</v>
      </c>
      <c r="L202" s="154">
        <f t="shared" si="88"/>
        <v>0.0539</v>
      </c>
      <c r="M202" s="154">
        <f t="shared" si="88"/>
        <v>0.0385</v>
      </c>
      <c r="N202" s="154">
        <f t="shared" si="88"/>
        <v>0.04</v>
      </c>
      <c r="O202" s="154">
        <f t="shared" si="88"/>
        <v>0.0416</v>
      </c>
      <c r="P202" s="154">
        <f t="shared" si="88"/>
        <v>0.046</v>
      </c>
      <c r="Q202" s="154">
        <f t="shared" si="88"/>
        <v>0.0486</v>
      </c>
      <c r="R202" s="154" t="e">
        <f t="shared" si="88"/>
        <v>#REF!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0.0831</v>
      </c>
      <c r="J203" s="158">
        <f t="shared" si="89"/>
        <v>0.0917</v>
      </c>
      <c r="K203" s="158">
        <f t="shared" si="89"/>
        <v>0.0707</v>
      </c>
      <c r="L203" s="158">
        <f t="shared" si="89"/>
        <v>0.0539</v>
      </c>
      <c r="M203" s="158">
        <f t="shared" si="89"/>
        <v>0.0385</v>
      </c>
      <c r="N203" s="158">
        <f t="shared" si="89"/>
        <v>0.04</v>
      </c>
      <c r="O203" s="158">
        <f t="shared" si="89"/>
        <v>0.0416</v>
      </c>
      <c r="P203" s="158">
        <f t="shared" si="89"/>
        <v>0.046</v>
      </c>
      <c r="Q203" s="158">
        <f t="shared" si="89"/>
        <v>0.0486</v>
      </c>
      <c r="R203" s="158" t="e">
        <f t="shared" si="89"/>
        <v>#REF!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2016 - 2024 - Nr Uchwały JST: XVI/120/2016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2021</v>
      </c>
      <c r="N4" s="9">
        <v>0</v>
      </c>
      <c r="O4" s="13">
        <v>42451</v>
      </c>
      <c r="P4" s="13">
        <v>42451</v>
      </c>
    </row>
    <row r="5" spans="1:16" ht="14.25">
      <c r="A5" s="10">
        <v>2016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2019</v>
      </c>
      <c r="N5" s="9">
        <v>0</v>
      </c>
      <c r="O5" s="13">
        <v>42451</v>
      </c>
      <c r="P5" s="13">
        <v>42451</v>
      </c>
    </row>
    <row r="6" spans="1:16" ht="14.25">
      <c r="A6" s="10">
        <v>2016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6</v>
      </c>
      <c r="M6" s="8">
        <v>2022</v>
      </c>
      <c r="N6" s="9">
        <v>0</v>
      </c>
      <c r="O6" s="13">
        <v>42451</v>
      </c>
      <c r="P6" s="13">
        <v>42451</v>
      </c>
    </row>
    <row r="7" spans="1:16" ht="14.25">
      <c r="A7" s="10">
        <v>2016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2016</v>
      </c>
      <c r="N7" s="9">
        <v>0</v>
      </c>
      <c r="O7" s="13">
        <v>42451</v>
      </c>
      <c r="P7" s="13">
        <v>42451</v>
      </c>
    </row>
    <row r="8" spans="1:16" ht="14.25">
      <c r="A8" s="10">
        <v>2016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7</v>
      </c>
      <c r="M8" s="8">
        <v>2023</v>
      </c>
      <c r="N8" s="9">
        <v>0</v>
      </c>
      <c r="O8" s="13">
        <v>42451</v>
      </c>
      <c r="P8" s="13">
        <v>42451</v>
      </c>
    </row>
    <row r="9" spans="1:16" ht="14.25">
      <c r="A9" s="10">
        <v>2016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2018</v>
      </c>
      <c r="N9" s="9">
        <v>0</v>
      </c>
      <c r="O9" s="13">
        <v>42451</v>
      </c>
      <c r="P9" s="13">
        <v>42451</v>
      </c>
    </row>
    <row r="10" spans="1:16" ht="14.25">
      <c r="A10" s="10">
        <v>2016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4</v>
      </c>
      <c r="M10" s="8">
        <v>2020</v>
      </c>
      <c r="N10" s="9">
        <v>0</v>
      </c>
      <c r="O10" s="13">
        <v>42451</v>
      </c>
      <c r="P10" s="13">
        <v>42451</v>
      </c>
    </row>
    <row r="11" spans="1:16" ht="14.25">
      <c r="A11" s="10">
        <v>2016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1</v>
      </c>
      <c r="M11" s="8">
        <v>2017</v>
      </c>
      <c r="N11" s="9">
        <v>0</v>
      </c>
      <c r="O11" s="13">
        <v>42451</v>
      </c>
      <c r="P11" s="13">
        <v>42451</v>
      </c>
    </row>
    <row r="12" spans="1:16" ht="14.25">
      <c r="A12" s="10">
        <v>2016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8</v>
      </c>
      <c r="M12" s="8">
        <v>2024</v>
      </c>
      <c r="N12" s="9">
        <v>0</v>
      </c>
      <c r="O12" s="13">
        <v>42451</v>
      </c>
      <c r="P12" s="13">
        <v>42451</v>
      </c>
    </row>
    <row r="13" spans="1:16" ht="14.25">
      <c r="A13" s="10">
        <v>2016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5</v>
      </c>
      <c r="M13" s="8">
        <v>2021</v>
      </c>
      <c r="N13" s="9">
        <v>0</v>
      </c>
      <c r="O13" s="13">
        <v>42451</v>
      </c>
      <c r="P13" s="13">
        <v>42451</v>
      </c>
    </row>
    <row r="14" spans="1:16" ht="14.25">
      <c r="A14" s="10">
        <v>2016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3</v>
      </c>
      <c r="M14" s="8">
        <v>2019</v>
      </c>
      <c r="N14" s="9">
        <v>0</v>
      </c>
      <c r="O14" s="13">
        <v>42451</v>
      </c>
      <c r="P14" s="13">
        <v>42451</v>
      </c>
    </row>
    <row r="15" spans="1:16" ht="14.25">
      <c r="A15" s="10">
        <v>2016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2</v>
      </c>
      <c r="M15" s="8">
        <v>2018</v>
      </c>
      <c r="N15" s="9">
        <v>0</v>
      </c>
      <c r="O15" s="13">
        <v>42451</v>
      </c>
      <c r="P15" s="13">
        <v>42451</v>
      </c>
    </row>
    <row r="16" spans="1:16" ht="14.25">
      <c r="A16" s="10">
        <v>2016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7</v>
      </c>
      <c r="M16" s="8">
        <v>2023</v>
      </c>
      <c r="N16" s="9">
        <v>0</v>
      </c>
      <c r="O16" s="13">
        <v>42451</v>
      </c>
      <c r="P16" s="13">
        <v>42451</v>
      </c>
    </row>
    <row r="17" spans="1:16" ht="14.25">
      <c r="A17" s="10">
        <v>2016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1</v>
      </c>
      <c r="M17" s="8">
        <v>2017</v>
      </c>
      <c r="N17" s="9">
        <v>0</v>
      </c>
      <c r="O17" s="13">
        <v>42451</v>
      </c>
      <c r="P17" s="13">
        <v>42451</v>
      </c>
    </row>
    <row r="18" spans="1:16" ht="14.25">
      <c r="A18" s="10">
        <v>2016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8</v>
      </c>
      <c r="M18" s="8">
        <v>2024</v>
      </c>
      <c r="N18" s="9">
        <v>0</v>
      </c>
      <c r="O18" s="13">
        <v>42451</v>
      </c>
      <c r="P18" s="13">
        <v>42451</v>
      </c>
    </row>
    <row r="19" spans="1:16" ht="14.25">
      <c r="A19" s="10">
        <v>2016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6</v>
      </c>
      <c r="M19" s="8">
        <v>2022</v>
      </c>
      <c r="N19" s="9">
        <v>0</v>
      </c>
      <c r="O19" s="13">
        <v>42451</v>
      </c>
      <c r="P19" s="13">
        <v>42451</v>
      </c>
    </row>
    <row r="20" spans="1:16" ht="14.25">
      <c r="A20" s="10">
        <v>2016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4</v>
      </c>
      <c r="M20" s="8">
        <v>2020</v>
      </c>
      <c r="N20" s="9">
        <v>0</v>
      </c>
      <c r="O20" s="13">
        <v>42451</v>
      </c>
      <c r="P20" s="13">
        <v>42451</v>
      </c>
    </row>
    <row r="21" spans="1:16" ht="14.25">
      <c r="A21" s="10">
        <v>2016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0</v>
      </c>
      <c r="M21" s="8">
        <v>2016</v>
      </c>
      <c r="N21" s="9">
        <v>0</v>
      </c>
      <c r="O21" s="13">
        <v>42451</v>
      </c>
      <c r="P21" s="13">
        <v>42451</v>
      </c>
    </row>
    <row r="22" spans="1:16" ht="14.25">
      <c r="A22" s="10">
        <v>2016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1</v>
      </c>
      <c r="M22" s="8">
        <v>2017</v>
      </c>
      <c r="N22" s="9">
        <v>400000</v>
      </c>
      <c r="O22" s="13">
        <v>42451</v>
      </c>
      <c r="P22" s="13">
        <v>42451</v>
      </c>
    </row>
    <row r="23" spans="1:16" ht="14.25">
      <c r="A23" s="10">
        <v>2016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8</v>
      </c>
      <c r="M23" s="8">
        <v>2024</v>
      </c>
      <c r="N23" s="9">
        <v>0</v>
      </c>
      <c r="O23" s="13">
        <v>42451</v>
      </c>
      <c r="P23" s="13">
        <v>42451</v>
      </c>
    </row>
    <row r="24" spans="1:16" ht="14.25">
      <c r="A24" s="10">
        <v>2016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3</v>
      </c>
      <c r="M24" s="8">
        <v>2019</v>
      </c>
      <c r="N24" s="9">
        <v>700000</v>
      </c>
      <c r="O24" s="13">
        <v>42451</v>
      </c>
      <c r="P24" s="13">
        <v>42451</v>
      </c>
    </row>
    <row r="25" spans="1:16" ht="14.25">
      <c r="A25" s="10">
        <v>2016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4</v>
      </c>
      <c r="M25" s="8">
        <v>2020</v>
      </c>
      <c r="N25" s="9">
        <v>600000</v>
      </c>
      <c r="O25" s="13">
        <v>42451</v>
      </c>
      <c r="P25" s="13">
        <v>42451</v>
      </c>
    </row>
    <row r="26" spans="1:16" ht="14.25">
      <c r="A26" s="10">
        <v>2016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6</v>
      </c>
      <c r="M26" s="8">
        <v>2022</v>
      </c>
      <c r="N26" s="9">
        <v>0</v>
      </c>
      <c r="O26" s="13">
        <v>42451</v>
      </c>
      <c r="P26" s="13">
        <v>42451</v>
      </c>
    </row>
    <row r="27" spans="1:16" ht="14.25">
      <c r="A27" s="10">
        <v>2016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2018</v>
      </c>
      <c r="N27" s="9">
        <v>700000</v>
      </c>
      <c r="O27" s="13">
        <v>42451</v>
      </c>
      <c r="P27" s="13">
        <v>42451</v>
      </c>
    </row>
    <row r="28" spans="1:16" ht="14.25">
      <c r="A28" s="10">
        <v>2016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5</v>
      </c>
      <c r="M28" s="8">
        <v>2021</v>
      </c>
      <c r="N28" s="9">
        <v>0</v>
      </c>
      <c r="O28" s="13">
        <v>42451</v>
      </c>
      <c r="P28" s="13">
        <v>42451</v>
      </c>
    </row>
    <row r="29" spans="1:16" ht="14.25">
      <c r="A29" s="10">
        <v>2016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7</v>
      </c>
      <c r="M29" s="8">
        <v>2023</v>
      </c>
      <c r="N29" s="9">
        <v>0</v>
      </c>
      <c r="O29" s="13">
        <v>42451</v>
      </c>
      <c r="P29" s="13">
        <v>42451</v>
      </c>
    </row>
    <row r="30" spans="1:16" ht="14.25">
      <c r="A30" s="10">
        <v>2016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0</v>
      </c>
      <c r="M30" s="8">
        <v>2016</v>
      </c>
      <c r="N30" s="9">
        <v>205031</v>
      </c>
      <c r="O30" s="13">
        <v>42451</v>
      </c>
      <c r="P30" s="13">
        <v>42451</v>
      </c>
    </row>
    <row r="31" spans="1:16" ht="14.25">
      <c r="A31" s="10">
        <v>2016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8</v>
      </c>
      <c r="M31" s="8">
        <v>2024</v>
      </c>
      <c r="N31" s="9">
        <v>0</v>
      </c>
      <c r="O31" s="13">
        <v>42451</v>
      </c>
      <c r="P31" s="13">
        <v>42451</v>
      </c>
    </row>
    <row r="32" spans="1:16" ht="14.25">
      <c r="A32" s="10">
        <v>2016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4</v>
      </c>
      <c r="M32" s="8">
        <v>2020</v>
      </c>
      <c r="N32" s="9">
        <v>0</v>
      </c>
      <c r="O32" s="13">
        <v>42451</v>
      </c>
      <c r="P32" s="13">
        <v>42451</v>
      </c>
    </row>
    <row r="33" spans="1:16" ht="14.25">
      <c r="A33" s="10">
        <v>2016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3</v>
      </c>
      <c r="M33" s="8">
        <v>2019</v>
      </c>
      <c r="N33" s="9">
        <v>0</v>
      </c>
      <c r="O33" s="13">
        <v>42451</v>
      </c>
      <c r="P33" s="13">
        <v>42451</v>
      </c>
    </row>
    <row r="34" spans="1:16" ht="14.25">
      <c r="A34" s="10">
        <v>2016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5</v>
      </c>
      <c r="M34" s="8">
        <v>2021</v>
      </c>
      <c r="N34" s="9">
        <v>0</v>
      </c>
      <c r="O34" s="13">
        <v>42451</v>
      </c>
      <c r="P34" s="13">
        <v>42451</v>
      </c>
    </row>
    <row r="35" spans="1:16" ht="14.25">
      <c r="A35" s="10">
        <v>2016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2</v>
      </c>
      <c r="M35" s="8">
        <v>2018</v>
      </c>
      <c r="N35" s="9">
        <v>0</v>
      </c>
      <c r="O35" s="13">
        <v>42451</v>
      </c>
      <c r="P35" s="13">
        <v>42451</v>
      </c>
    </row>
    <row r="36" spans="1:16" ht="14.25">
      <c r="A36" s="10">
        <v>2016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0</v>
      </c>
      <c r="M36" s="8">
        <v>2016</v>
      </c>
      <c r="N36" s="9">
        <v>0</v>
      </c>
      <c r="O36" s="13">
        <v>42451</v>
      </c>
      <c r="P36" s="13">
        <v>42451</v>
      </c>
    </row>
    <row r="37" spans="1:16" ht="14.25">
      <c r="A37" s="10">
        <v>2016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1</v>
      </c>
      <c r="M37" s="8">
        <v>2017</v>
      </c>
      <c r="N37" s="9">
        <v>0</v>
      </c>
      <c r="O37" s="13">
        <v>42451</v>
      </c>
      <c r="P37" s="13">
        <v>42451</v>
      </c>
    </row>
    <row r="38" spans="1:16" ht="14.25">
      <c r="A38" s="10">
        <v>2016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2022</v>
      </c>
      <c r="N38" s="9">
        <v>0</v>
      </c>
      <c r="O38" s="13">
        <v>42451</v>
      </c>
      <c r="P38" s="13">
        <v>42451</v>
      </c>
    </row>
    <row r="39" spans="1:16" ht="14.25">
      <c r="A39" s="10">
        <v>2016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7</v>
      </c>
      <c r="M39" s="8">
        <v>2023</v>
      </c>
      <c r="N39" s="9">
        <v>0</v>
      </c>
      <c r="O39" s="13">
        <v>42451</v>
      </c>
      <c r="P39" s="13">
        <v>42451</v>
      </c>
    </row>
    <row r="40" spans="1:16" ht="14.25">
      <c r="A40" s="10">
        <v>2016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3</v>
      </c>
      <c r="M40" s="8">
        <v>2019</v>
      </c>
      <c r="N40" s="9">
        <v>0</v>
      </c>
      <c r="O40" s="13">
        <v>42451</v>
      </c>
      <c r="P40" s="13">
        <v>42451</v>
      </c>
    </row>
    <row r="41" spans="1:16" ht="14.25">
      <c r="A41" s="10">
        <v>2016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7</v>
      </c>
      <c r="M41" s="8">
        <v>2023</v>
      </c>
      <c r="N41" s="9">
        <v>0</v>
      </c>
      <c r="O41" s="13">
        <v>42451</v>
      </c>
      <c r="P41" s="13">
        <v>42451</v>
      </c>
    </row>
    <row r="42" spans="1:16" ht="14.25">
      <c r="A42" s="10">
        <v>2016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1</v>
      </c>
      <c r="M42" s="8">
        <v>2017</v>
      </c>
      <c r="N42" s="9">
        <v>0</v>
      </c>
      <c r="O42" s="13">
        <v>42451</v>
      </c>
      <c r="P42" s="13">
        <v>42451</v>
      </c>
    </row>
    <row r="43" spans="1:16" ht="14.25">
      <c r="A43" s="10">
        <v>2016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8</v>
      </c>
      <c r="M43" s="8">
        <v>2024</v>
      </c>
      <c r="N43" s="9">
        <v>0</v>
      </c>
      <c r="O43" s="13">
        <v>42451</v>
      </c>
      <c r="P43" s="13">
        <v>42451</v>
      </c>
    </row>
    <row r="44" spans="1:16" ht="14.25">
      <c r="A44" s="10">
        <v>2016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5</v>
      </c>
      <c r="M44" s="8">
        <v>2021</v>
      </c>
      <c r="N44" s="9">
        <v>0</v>
      </c>
      <c r="O44" s="13">
        <v>42451</v>
      </c>
      <c r="P44" s="13">
        <v>42451</v>
      </c>
    </row>
    <row r="45" spans="1:16" ht="14.25">
      <c r="A45" s="10">
        <v>2016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2</v>
      </c>
      <c r="M45" s="8">
        <v>2018</v>
      </c>
      <c r="N45" s="9">
        <v>0</v>
      </c>
      <c r="O45" s="13">
        <v>42451</v>
      </c>
      <c r="P45" s="13">
        <v>42451</v>
      </c>
    </row>
    <row r="46" spans="1:16" ht="14.25">
      <c r="A46" s="10">
        <v>2016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0</v>
      </c>
      <c r="M46" s="8">
        <v>2016</v>
      </c>
      <c r="N46" s="9">
        <v>0</v>
      </c>
      <c r="O46" s="13">
        <v>42451</v>
      </c>
      <c r="P46" s="13">
        <v>42451</v>
      </c>
    </row>
    <row r="47" spans="1:16" ht="14.25">
      <c r="A47" s="10">
        <v>2016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6</v>
      </c>
      <c r="M47" s="8">
        <v>2022</v>
      </c>
      <c r="N47" s="9">
        <v>0</v>
      </c>
      <c r="O47" s="13">
        <v>42451</v>
      </c>
      <c r="P47" s="13">
        <v>42451</v>
      </c>
    </row>
    <row r="48" spans="1:16" ht="14.25">
      <c r="A48" s="10">
        <v>2016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4</v>
      </c>
      <c r="M48" s="8">
        <v>2020</v>
      </c>
      <c r="N48" s="9">
        <v>0</v>
      </c>
      <c r="O48" s="13">
        <v>42451</v>
      </c>
      <c r="P48" s="13">
        <v>42451</v>
      </c>
    </row>
    <row r="49" spans="1:16" ht="14.25">
      <c r="A49" s="10">
        <v>2016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530</v>
      </c>
      <c r="H49" s="12">
        <v>9.7</v>
      </c>
      <c r="I49" s="12" t="s">
        <v>479</v>
      </c>
      <c r="J49" s="12" t="s">
        <v>372</v>
      </c>
      <c r="K49" s="12" t="b">
        <v>0</v>
      </c>
      <c r="L49" s="12">
        <v>2</v>
      </c>
      <c r="M49" s="8">
        <v>2018</v>
      </c>
      <c r="N49" s="9">
        <v>742</v>
      </c>
      <c r="O49" s="13">
        <v>42451</v>
      </c>
      <c r="P49" s="13">
        <v>42451</v>
      </c>
    </row>
    <row r="50" spans="1:16" ht="14.25">
      <c r="A50" s="10">
        <v>2016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479</v>
      </c>
      <c r="J50" s="12" t="s">
        <v>372</v>
      </c>
      <c r="K50" s="12" t="b">
        <v>0</v>
      </c>
      <c r="L50" s="12">
        <v>4</v>
      </c>
      <c r="M50" s="8">
        <v>2020</v>
      </c>
      <c r="N50" s="9">
        <v>385</v>
      </c>
      <c r="O50" s="13">
        <v>42451</v>
      </c>
      <c r="P50" s="13">
        <v>42451</v>
      </c>
    </row>
    <row r="51" spans="1:16" ht="14.25">
      <c r="A51" s="10">
        <v>2016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479</v>
      </c>
      <c r="J51" s="12" t="s">
        <v>372</v>
      </c>
      <c r="K51" s="12" t="b">
        <v>0</v>
      </c>
      <c r="L51" s="12">
        <v>0</v>
      </c>
      <c r="M51" s="8">
        <v>2016</v>
      </c>
      <c r="N51" s="9">
        <v>865</v>
      </c>
      <c r="O51" s="13">
        <v>42451</v>
      </c>
      <c r="P51" s="13">
        <v>42451</v>
      </c>
    </row>
    <row r="52" spans="1:16" ht="14.25">
      <c r="A52" s="10">
        <v>2016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479</v>
      </c>
      <c r="J52" s="12" t="s">
        <v>372</v>
      </c>
      <c r="K52" s="12" t="b">
        <v>0</v>
      </c>
      <c r="L52" s="12">
        <v>3</v>
      </c>
      <c r="M52" s="8">
        <v>2019</v>
      </c>
      <c r="N52" s="9">
        <v>539</v>
      </c>
      <c r="O52" s="13">
        <v>42451</v>
      </c>
      <c r="P52" s="13">
        <v>42451</v>
      </c>
    </row>
    <row r="53" spans="1:16" ht="14.25">
      <c r="A53" s="10">
        <v>2016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479</v>
      </c>
      <c r="J53" s="12" t="s">
        <v>372</v>
      </c>
      <c r="K53" s="12" t="b">
        <v>0</v>
      </c>
      <c r="L53" s="12">
        <v>7</v>
      </c>
      <c r="M53" s="8">
        <v>2023</v>
      </c>
      <c r="N53" s="9">
        <v>460</v>
      </c>
      <c r="O53" s="13">
        <v>42451</v>
      </c>
      <c r="P53" s="13">
        <v>42451</v>
      </c>
    </row>
    <row r="54" spans="1:16" ht="14.25">
      <c r="A54" s="10">
        <v>2016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8</v>
      </c>
      <c r="M54" s="8">
        <v>2024</v>
      </c>
      <c r="N54" s="9">
        <v>486</v>
      </c>
      <c r="O54" s="13">
        <v>42451</v>
      </c>
      <c r="P54" s="13">
        <v>42451</v>
      </c>
    </row>
    <row r="55" spans="1:16" ht="14.25">
      <c r="A55" s="10">
        <v>2016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6</v>
      </c>
      <c r="M55" s="8">
        <v>2022</v>
      </c>
      <c r="N55" s="9">
        <v>416</v>
      </c>
      <c r="O55" s="13">
        <v>42451</v>
      </c>
      <c r="P55" s="13">
        <v>42451</v>
      </c>
    </row>
    <row r="56" spans="1:16" ht="14.25">
      <c r="A56" s="10">
        <v>2016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1</v>
      </c>
      <c r="M56" s="8">
        <v>2017</v>
      </c>
      <c r="N56" s="9">
        <v>952</v>
      </c>
      <c r="O56" s="13">
        <v>42451</v>
      </c>
      <c r="P56" s="13">
        <v>42451</v>
      </c>
    </row>
    <row r="57" spans="1:16" ht="14.25">
      <c r="A57" s="10">
        <v>2016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5</v>
      </c>
      <c r="M57" s="8">
        <v>2021</v>
      </c>
      <c r="N57" s="9">
        <v>400</v>
      </c>
      <c r="O57" s="13">
        <v>42451</v>
      </c>
      <c r="P57" s="13">
        <v>42451</v>
      </c>
    </row>
    <row r="58" spans="1:16" ht="14.25">
      <c r="A58" s="10">
        <v>2016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320</v>
      </c>
      <c r="H58" s="12" t="s">
        <v>74</v>
      </c>
      <c r="I58" s="12" t="s">
        <v>349</v>
      </c>
      <c r="J58" s="12" t="s">
        <v>350</v>
      </c>
      <c r="K58" s="12" t="b">
        <v>1</v>
      </c>
      <c r="L58" s="12">
        <v>5</v>
      </c>
      <c r="M58" s="8">
        <v>2021</v>
      </c>
      <c r="N58" s="9">
        <v>0</v>
      </c>
      <c r="O58" s="13">
        <v>42451</v>
      </c>
      <c r="P58" s="13">
        <v>42451</v>
      </c>
    </row>
    <row r="59" spans="1:16" ht="14.25">
      <c r="A59" s="10">
        <v>2016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3</v>
      </c>
      <c r="M59" s="8">
        <v>2019</v>
      </c>
      <c r="N59" s="9">
        <v>0</v>
      </c>
      <c r="O59" s="13">
        <v>42451</v>
      </c>
      <c r="P59" s="13">
        <v>42451</v>
      </c>
    </row>
    <row r="60" spans="1:16" ht="14.25">
      <c r="A60" s="10">
        <v>2016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8</v>
      </c>
      <c r="M60" s="8">
        <v>2024</v>
      </c>
      <c r="N60" s="9">
        <v>0</v>
      </c>
      <c r="O60" s="13">
        <v>42451</v>
      </c>
      <c r="P60" s="13">
        <v>42451</v>
      </c>
    </row>
    <row r="61" spans="1:16" ht="14.25">
      <c r="A61" s="10">
        <v>2016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349</v>
      </c>
      <c r="J61" s="12" t="s">
        <v>350</v>
      </c>
      <c r="K61" s="12" t="b">
        <v>1</v>
      </c>
      <c r="L61" s="12">
        <v>0</v>
      </c>
      <c r="M61" s="8">
        <v>2016</v>
      </c>
      <c r="N61" s="9">
        <v>0</v>
      </c>
      <c r="O61" s="13">
        <v>42451</v>
      </c>
      <c r="P61" s="13">
        <v>42451</v>
      </c>
    </row>
    <row r="62" spans="1:16" ht="14.25">
      <c r="A62" s="10">
        <v>2016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349</v>
      </c>
      <c r="J62" s="12" t="s">
        <v>350</v>
      </c>
      <c r="K62" s="12" t="b">
        <v>1</v>
      </c>
      <c r="L62" s="12">
        <v>6</v>
      </c>
      <c r="M62" s="8">
        <v>2022</v>
      </c>
      <c r="N62" s="9">
        <v>0</v>
      </c>
      <c r="O62" s="13">
        <v>42451</v>
      </c>
      <c r="P62" s="13">
        <v>42451</v>
      </c>
    </row>
    <row r="63" spans="1:16" ht="14.25">
      <c r="A63" s="10">
        <v>2016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349</v>
      </c>
      <c r="J63" s="12" t="s">
        <v>350</v>
      </c>
      <c r="K63" s="12" t="b">
        <v>1</v>
      </c>
      <c r="L63" s="12">
        <v>1</v>
      </c>
      <c r="M63" s="8">
        <v>2017</v>
      </c>
      <c r="N63" s="9">
        <v>0</v>
      </c>
      <c r="O63" s="13">
        <v>42451</v>
      </c>
      <c r="P63" s="13">
        <v>42451</v>
      </c>
    </row>
    <row r="64" spans="1:16" ht="14.25">
      <c r="A64" s="10">
        <v>2016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2</v>
      </c>
      <c r="M64" s="8">
        <v>2018</v>
      </c>
      <c r="N64" s="9">
        <v>0</v>
      </c>
      <c r="O64" s="13">
        <v>42451</v>
      </c>
      <c r="P64" s="13">
        <v>42451</v>
      </c>
    </row>
    <row r="65" spans="1:16" ht="14.25">
      <c r="A65" s="10">
        <v>2016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4</v>
      </c>
      <c r="M65" s="8">
        <v>2020</v>
      </c>
      <c r="N65" s="9">
        <v>0</v>
      </c>
      <c r="O65" s="13">
        <v>42451</v>
      </c>
      <c r="P65" s="13">
        <v>42451</v>
      </c>
    </row>
    <row r="66" spans="1:16" ht="14.25">
      <c r="A66" s="10">
        <v>2016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7</v>
      </c>
      <c r="M66" s="8">
        <v>2023</v>
      </c>
      <c r="N66" s="9">
        <v>0</v>
      </c>
      <c r="O66" s="13">
        <v>42451</v>
      </c>
      <c r="P66" s="13">
        <v>42451</v>
      </c>
    </row>
    <row r="67" spans="1:16" ht="14.25">
      <c r="A67" s="10">
        <v>2016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1</v>
      </c>
      <c r="M67" s="8">
        <v>2017</v>
      </c>
      <c r="N67" s="9">
        <v>996998.88</v>
      </c>
      <c r="O67" s="13">
        <v>42451</v>
      </c>
      <c r="P67" s="13">
        <v>42451</v>
      </c>
    </row>
    <row r="68" spans="1:16" ht="14.25">
      <c r="A68" s="10">
        <v>2016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8</v>
      </c>
      <c r="M68" s="8">
        <v>2024</v>
      </c>
      <c r="N68" s="9">
        <v>553068.76</v>
      </c>
      <c r="O68" s="13">
        <v>42451</v>
      </c>
      <c r="P68" s="13">
        <v>42451</v>
      </c>
    </row>
    <row r="69" spans="1:16" ht="14.25">
      <c r="A69" s="10">
        <v>2016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42451</v>
      </c>
      <c r="P69" s="13">
        <v>42451</v>
      </c>
    </row>
    <row r="70" spans="1:16" ht="14.25">
      <c r="A70" s="10">
        <v>2016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0</v>
      </c>
      <c r="M70" s="8">
        <v>2016</v>
      </c>
      <c r="N70" s="9">
        <v>947266.88</v>
      </c>
      <c r="O70" s="13">
        <v>42451</v>
      </c>
      <c r="P70" s="13">
        <v>42451</v>
      </c>
    </row>
    <row r="71" spans="1:16" ht="14.25">
      <c r="A71" s="10">
        <v>2016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2</v>
      </c>
      <c r="M71" s="8">
        <v>2018</v>
      </c>
      <c r="N71" s="9">
        <v>947379.45</v>
      </c>
      <c r="O71" s="13">
        <v>42451</v>
      </c>
      <c r="P71" s="13">
        <v>42451</v>
      </c>
    </row>
    <row r="72" spans="1:16" ht="14.25">
      <c r="A72" s="10">
        <v>2016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5</v>
      </c>
      <c r="M72" s="8">
        <v>2021</v>
      </c>
      <c r="N72" s="9">
        <v>663414.88</v>
      </c>
      <c r="O72" s="13">
        <v>42451</v>
      </c>
      <c r="P72" s="13">
        <v>42451</v>
      </c>
    </row>
    <row r="73" spans="1:16" ht="14.25">
      <c r="A73" s="10">
        <v>2016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4</v>
      </c>
      <c r="M73" s="8">
        <v>2020</v>
      </c>
      <c r="N73" s="9">
        <v>663414.88</v>
      </c>
      <c r="O73" s="13">
        <v>42451</v>
      </c>
      <c r="P73" s="13">
        <v>42451</v>
      </c>
    </row>
    <row r="74" spans="1:16" ht="14.25">
      <c r="A74" s="10">
        <v>2016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6</v>
      </c>
      <c r="M74" s="8">
        <v>2022</v>
      </c>
      <c r="N74" s="9">
        <v>663414.88</v>
      </c>
      <c r="O74" s="13">
        <v>42451</v>
      </c>
      <c r="P74" s="13">
        <v>42451</v>
      </c>
    </row>
    <row r="75" spans="1:16" ht="14.25">
      <c r="A75" s="10">
        <v>2016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3</v>
      </c>
      <c r="M75" s="8">
        <v>2019</v>
      </c>
      <c r="N75" s="9">
        <v>857414.88</v>
      </c>
      <c r="O75" s="13">
        <v>42451</v>
      </c>
      <c r="P75" s="13">
        <v>42451</v>
      </c>
    </row>
    <row r="76" spans="1:16" ht="14.25">
      <c r="A76" s="10">
        <v>2016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2</v>
      </c>
      <c r="M76" s="8">
        <v>2018</v>
      </c>
      <c r="N76" s="9">
        <v>135000</v>
      </c>
      <c r="O76" s="13">
        <v>42451</v>
      </c>
      <c r="P76" s="13">
        <v>42451</v>
      </c>
    </row>
    <row r="77" spans="1:16" ht="14.25">
      <c r="A77" s="10">
        <v>2016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0</v>
      </c>
      <c r="M77" s="8">
        <v>2016</v>
      </c>
      <c r="N77" s="9">
        <v>130000</v>
      </c>
      <c r="O77" s="13">
        <v>42451</v>
      </c>
      <c r="P77" s="13">
        <v>42451</v>
      </c>
    </row>
    <row r="78" spans="1:16" ht="14.25">
      <c r="A78" s="10">
        <v>2016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4</v>
      </c>
      <c r="M78" s="8">
        <v>2020</v>
      </c>
      <c r="N78" s="9">
        <v>0</v>
      </c>
      <c r="O78" s="13">
        <v>42451</v>
      </c>
      <c r="P78" s="13">
        <v>42451</v>
      </c>
    </row>
    <row r="79" spans="1:16" ht="14.25">
      <c r="A79" s="10">
        <v>2016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7</v>
      </c>
      <c r="M79" s="8">
        <v>2023</v>
      </c>
      <c r="N79" s="9">
        <v>0</v>
      </c>
      <c r="O79" s="13">
        <v>42451</v>
      </c>
      <c r="P79" s="13">
        <v>42451</v>
      </c>
    </row>
    <row r="80" spans="1:16" ht="14.25">
      <c r="A80" s="10">
        <v>2016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3</v>
      </c>
      <c r="M80" s="8">
        <v>2019</v>
      </c>
      <c r="N80" s="9">
        <v>138000</v>
      </c>
      <c r="O80" s="13">
        <v>42451</v>
      </c>
      <c r="P80" s="13">
        <v>42451</v>
      </c>
    </row>
    <row r="81" spans="1:16" ht="14.25">
      <c r="A81" s="10">
        <v>2016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1</v>
      </c>
      <c r="M81" s="8">
        <v>2017</v>
      </c>
      <c r="N81" s="9">
        <v>133000</v>
      </c>
      <c r="O81" s="13">
        <v>42451</v>
      </c>
      <c r="P81" s="13">
        <v>42451</v>
      </c>
    </row>
    <row r="82" spans="1:16" ht="14.25">
      <c r="A82" s="10">
        <v>2016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5</v>
      </c>
      <c r="M82" s="8">
        <v>2021</v>
      </c>
      <c r="N82" s="9">
        <v>0</v>
      </c>
      <c r="O82" s="13">
        <v>42451</v>
      </c>
      <c r="P82" s="13">
        <v>42451</v>
      </c>
    </row>
    <row r="83" spans="1:16" ht="14.25">
      <c r="A83" s="10">
        <v>2016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6</v>
      </c>
      <c r="M83" s="8">
        <v>2022</v>
      </c>
      <c r="N83" s="9">
        <v>0</v>
      </c>
      <c r="O83" s="13">
        <v>42451</v>
      </c>
      <c r="P83" s="13">
        <v>42451</v>
      </c>
    </row>
    <row r="84" spans="1:16" ht="14.25">
      <c r="A84" s="10">
        <v>2016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8</v>
      </c>
      <c r="M84" s="8">
        <v>2024</v>
      </c>
      <c r="N84" s="9">
        <v>0</v>
      </c>
      <c r="O84" s="13">
        <v>42451</v>
      </c>
      <c r="P84" s="13">
        <v>42451</v>
      </c>
    </row>
    <row r="85" spans="1:16" ht="14.25">
      <c r="A85" s="10">
        <v>2016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766</v>
      </c>
      <c r="H85" s="12" t="s">
        <v>383</v>
      </c>
      <c r="I85" s="12"/>
      <c r="J85" s="12" t="s">
        <v>380</v>
      </c>
      <c r="K85" s="12" t="b">
        <v>1</v>
      </c>
      <c r="L85" s="12">
        <v>4</v>
      </c>
      <c r="M85" s="8">
        <v>2020</v>
      </c>
      <c r="N85" s="9">
        <v>0</v>
      </c>
      <c r="O85" s="13">
        <v>42451</v>
      </c>
      <c r="P85" s="13">
        <v>42451</v>
      </c>
    </row>
    <row r="86" spans="1:16" ht="14.25">
      <c r="A86" s="10">
        <v>2016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766</v>
      </c>
      <c r="H86" s="12" t="s">
        <v>383</v>
      </c>
      <c r="I86" s="12"/>
      <c r="J86" s="12" t="s">
        <v>380</v>
      </c>
      <c r="K86" s="12" t="b">
        <v>1</v>
      </c>
      <c r="L86" s="12">
        <v>2</v>
      </c>
      <c r="M86" s="8">
        <v>2018</v>
      </c>
      <c r="N86" s="9">
        <v>0</v>
      </c>
      <c r="O86" s="13">
        <v>42451</v>
      </c>
      <c r="P86" s="13">
        <v>42451</v>
      </c>
    </row>
    <row r="87" spans="1:16" ht="14.25">
      <c r="A87" s="10">
        <v>2016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766</v>
      </c>
      <c r="H87" s="12" t="s">
        <v>383</v>
      </c>
      <c r="I87" s="12"/>
      <c r="J87" s="12" t="s">
        <v>380</v>
      </c>
      <c r="K87" s="12" t="b">
        <v>1</v>
      </c>
      <c r="L87" s="12">
        <v>7</v>
      </c>
      <c r="M87" s="8">
        <v>2023</v>
      </c>
      <c r="N87" s="9">
        <v>0</v>
      </c>
      <c r="O87" s="13">
        <v>42451</v>
      </c>
      <c r="P87" s="13">
        <v>42451</v>
      </c>
    </row>
    <row r="88" spans="1:16" ht="14.25">
      <c r="A88" s="10">
        <v>2016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766</v>
      </c>
      <c r="H88" s="12" t="s">
        <v>383</v>
      </c>
      <c r="I88" s="12"/>
      <c r="J88" s="12" t="s">
        <v>380</v>
      </c>
      <c r="K88" s="12" t="b">
        <v>1</v>
      </c>
      <c r="L88" s="12">
        <v>8</v>
      </c>
      <c r="M88" s="8">
        <v>2024</v>
      </c>
      <c r="N88" s="9">
        <v>0</v>
      </c>
      <c r="O88" s="13">
        <v>42451</v>
      </c>
      <c r="P88" s="13">
        <v>42451</v>
      </c>
    </row>
    <row r="89" spans="1:16" ht="14.25">
      <c r="A89" s="10">
        <v>2016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766</v>
      </c>
      <c r="H89" s="12" t="s">
        <v>383</v>
      </c>
      <c r="I89" s="12"/>
      <c r="J89" s="12" t="s">
        <v>380</v>
      </c>
      <c r="K89" s="12" t="b">
        <v>1</v>
      </c>
      <c r="L89" s="12">
        <v>0</v>
      </c>
      <c r="M89" s="8">
        <v>2016</v>
      </c>
      <c r="N89" s="9">
        <v>0</v>
      </c>
      <c r="O89" s="13">
        <v>42451</v>
      </c>
      <c r="P89" s="13">
        <v>42451</v>
      </c>
    </row>
    <row r="90" spans="1:16" ht="14.25">
      <c r="A90" s="10">
        <v>2016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766</v>
      </c>
      <c r="H90" s="12" t="s">
        <v>383</v>
      </c>
      <c r="I90" s="12"/>
      <c r="J90" s="12" t="s">
        <v>380</v>
      </c>
      <c r="K90" s="12" t="b">
        <v>1</v>
      </c>
      <c r="L90" s="12">
        <v>5</v>
      </c>
      <c r="M90" s="8">
        <v>2021</v>
      </c>
      <c r="N90" s="9">
        <v>0</v>
      </c>
      <c r="O90" s="13">
        <v>42451</v>
      </c>
      <c r="P90" s="13">
        <v>42451</v>
      </c>
    </row>
    <row r="91" spans="1:16" ht="14.25">
      <c r="A91" s="10">
        <v>2016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766</v>
      </c>
      <c r="H91" s="12" t="s">
        <v>383</v>
      </c>
      <c r="I91" s="12"/>
      <c r="J91" s="12" t="s">
        <v>380</v>
      </c>
      <c r="K91" s="12" t="b">
        <v>1</v>
      </c>
      <c r="L91" s="12">
        <v>6</v>
      </c>
      <c r="M91" s="8">
        <v>2022</v>
      </c>
      <c r="N91" s="9">
        <v>0</v>
      </c>
      <c r="O91" s="13">
        <v>42451</v>
      </c>
      <c r="P91" s="13">
        <v>42451</v>
      </c>
    </row>
    <row r="92" spans="1:16" ht="14.25">
      <c r="A92" s="10">
        <v>2016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766</v>
      </c>
      <c r="H92" s="12" t="s">
        <v>383</v>
      </c>
      <c r="I92" s="12"/>
      <c r="J92" s="12" t="s">
        <v>380</v>
      </c>
      <c r="K92" s="12" t="b">
        <v>1</v>
      </c>
      <c r="L92" s="12">
        <v>3</v>
      </c>
      <c r="M92" s="8">
        <v>2019</v>
      </c>
      <c r="N92" s="9">
        <v>0</v>
      </c>
      <c r="O92" s="13">
        <v>42451</v>
      </c>
      <c r="P92" s="13">
        <v>42451</v>
      </c>
    </row>
    <row r="93" spans="1:16" ht="14.25">
      <c r="A93" s="10">
        <v>2016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766</v>
      </c>
      <c r="H93" s="12" t="s">
        <v>383</v>
      </c>
      <c r="I93" s="12"/>
      <c r="J93" s="12" t="s">
        <v>380</v>
      </c>
      <c r="K93" s="12" t="b">
        <v>1</v>
      </c>
      <c r="L93" s="12">
        <v>1</v>
      </c>
      <c r="M93" s="8">
        <v>2017</v>
      </c>
      <c r="N93" s="9">
        <v>0</v>
      </c>
      <c r="O93" s="13">
        <v>42451</v>
      </c>
      <c r="P93" s="13">
        <v>42451</v>
      </c>
    </row>
    <row r="94" spans="1:16" ht="14.25">
      <c r="A94" s="10">
        <v>2016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388</v>
      </c>
      <c r="K94" s="12" t="b">
        <v>1</v>
      </c>
      <c r="L94" s="12">
        <v>4</v>
      </c>
      <c r="M94" s="8">
        <v>2020</v>
      </c>
      <c r="N94" s="9">
        <v>0</v>
      </c>
      <c r="O94" s="13">
        <v>42451</v>
      </c>
      <c r="P94" s="13">
        <v>42451</v>
      </c>
    </row>
    <row r="95" spans="1:16" ht="14.25">
      <c r="A95" s="10">
        <v>2016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388</v>
      </c>
      <c r="K95" s="12" t="b">
        <v>1</v>
      </c>
      <c r="L95" s="12">
        <v>6</v>
      </c>
      <c r="M95" s="8">
        <v>2022</v>
      </c>
      <c r="N95" s="9">
        <v>0</v>
      </c>
      <c r="O95" s="13">
        <v>42451</v>
      </c>
      <c r="P95" s="13">
        <v>42451</v>
      </c>
    </row>
    <row r="96" spans="1:16" ht="14.25">
      <c r="A96" s="10">
        <v>2016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388</v>
      </c>
      <c r="K96" s="12" t="b">
        <v>1</v>
      </c>
      <c r="L96" s="12">
        <v>1</v>
      </c>
      <c r="M96" s="8">
        <v>2017</v>
      </c>
      <c r="N96" s="9">
        <v>0</v>
      </c>
      <c r="O96" s="13">
        <v>42451</v>
      </c>
      <c r="P96" s="13">
        <v>42451</v>
      </c>
    </row>
    <row r="97" spans="1:16" ht="14.25">
      <c r="A97" s="10">
        <v>2016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388</v>
      </c>
      <c r="K97" s="12" t="b">
        <v>1</v>
      </c>
      <c r="L97" s="12">
        <v>7</v>
      </c>
      <c r="M97" s="8">
        <v>2023</v>
      </c>
      <c r="N97" s="9">
        <v>0</v>
      </c>
      <c r="O97" s="13">
        <v>42451</v>
      </c>
      <c r="P97" s="13">
        <v>42451</v>
      </c>
    </row>
    <row r="98" spans="1:16" ht="14.25">
      <c r="A98" s="10">
        <v>2016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388</v>
      </c>
      <c r="K98" s="12" t="b">
        <v>1</v>
      </c>
      <c r="L98" s="12">
        <v>3</v>
      </c>
      <c r="M98" s="8">
        <v>2019</v>
      </c>
      <c r="N98" s="9">
        <v>0</v>
      </c>
      <c r="O98" s="13">
        <v>42451</v>
      </c>
      <c r="P98" s="13">
        <v>42451</v>
      </c>
    </row>
    <row r="99" spans="1:16" ht="14.25">
      <c r="A99" s="10">
        <v>2016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388</v>
      </c>
      <c r="K99" s="12" t="b">
        <v>1</v>
      </c>
      <c r="L99" s="12">
        <v>8</v>
      </c>
      <c r="M99" s="8">
        <v>2024</v>
      </c>
      <c r="N99" s="9">
        <v>0</v>
      </c>
      <c r="O99" s="13">
        <v>42451</v>
      </c>
      <c r="P99" s="13">
        <v>42451</v>
      </c>
    </row>
    <row r="100" spans="1:16" ht="14.25">
      <c r="A100" s="10">
        <v>2016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388</v>
      </c>
      <c r="K100" s="12" t="b">
        <v>1</v>
      </c>
      <c r="L100" s="12">
        <v>0</v>
      </c>
      <c r="M100" s="8">
        <v>2016</v>
      </c>
      <c r="N100" s="9">
        <v>0</v>
      </c>
      <c r="O100" s="13">
        <v>42451</v>
      </c>
      <c r="P100" s="13">
        <v>42451</v>
      </c>
    </row>
    <row r="101" spans="1:16" ht="14.25">
      <c r="A101" s="10">
        <v>2016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388</v>
      </c>
      <c r="K101" s="12" t="b">
        <v>1</v>
      </c>
      <c r="L101" s="12">
        <v>5</v>
      </c>
      <c r="M101" s="8">
        <v>2021</v>
      </c>
      <c r="N101" s="9">
        <v>0</v>
      </c>
      <c r="O101" s="13">
        <v>42451</v>
      </c>
      <c r="P101" s="13">
        <v>42451</v>
      </c>
    </row>
    <row r="102" spans="1:16" ht="14.25">
      <c r="A102" s="10">
        <v>2016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388</v>
      </c>
      <c r="K102" s="12" t="b">
        <v>1</v>
      </c>
      <c r="L102" s="12">
        <v>2</v>
      </c>
      <c r="M102" s="8">
        <v>2018</v>
      </c>
      <c r="N102" s="9">
        <v>0</v>
      </c>
      <c r="O102" s="13">
        <v>42451</v>
      </c>
      <c r="P102" s="13">
        <v>42451</v>
      </c>
    </row>
    <row r="103" spans="1:16" ht="14.25">
      <c r="A103" s="10">
        <v>2016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338</v>
      </c>
      <c r="K103" s="12" t="b">
        <v>1</v>
      </c>
      <c r="L103" s="12">
        <v>4</v>
      </c>
      <c r="M103" s="8">
        <v>2020</v>
      </c>
      <c r="N103" s="9">
        <v>0</v>
      </c>
      <c r="O103" s="13">
        <v>42451</v>
      </c>
      <c r="P103" s="13">
        <v>42451</v>
      </c>
    </row>
    <row r="104" spans="1:16" ht="14.25">
      <c r="A104" s="10">
        <v>2016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338</v>
      </c>
      <c r="K104" s="12" t="b">
        <v>1</v>
      </c>
      <c r="L104" s="12">
        <v>8</v>
      </c>
      <c r="M104" s="8">
        <v>2024</v>
      </c>
      <c r="N104" s="9">
        <v>0</v>
      </c>
      <c r="O104" s="13">
        <v>42451</v>
      </c>
      <c r="P104" s="13">
        <v>42451</v>
      </c>
    </row>
    <row r="105" spans="1:16" ht="14.25">
      <c r="A105" s="10">
        <v>2016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338</v>
      </c>
      <c r="K105" s="12" t="b">
        <v>1</v>
      </c>
      <c r="L105" s="12">
        <v>1</v>
      </c>
      <c r="M105" s="8">
        <v>2017</v>
      </c>
      <c r="N105" s="9">
        <v>0</v>
      </c>
      <c r="O105" s="13">
        <v>42451</v>
      </c>
      <c r="P105" s="13">
        <v>42451</v>
      </c>
    </row>
    <row r="106" spans="1:16" ht="14.25">
      <c r="A106" s="10">
        <v>2016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338</v>
      </c>
      <c r="K106" s="12" t="b">
        <v>1</v>
      </c>
      <c r="L106" s="12">
        <v>5</v>
      </c>
      <c r="M106" s="8">
        <v>2021</v>
      </c>
      <c r="N106" s="9">
        <v>0</v>
      </c>
      <c r="O106" s="13">
        <v>42451</v>
      </c>
      <c r="P106" s="13">
        <v>42451</v>
      </c>
    </row>
    <row r="107" spans="1:16" ht="14.25">
      <c r="A107" s="10">
        <v>2016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338</v>
      </c>
      <c r="K107" s="12" t="b">
        <v>1</v>
      </c>
      <c r="L107" s="12">
        <v>2</v>
      </c>
      <c r="M107" s="8">
        <v>2018</v>
      </c>
      <c r="N107" s="9">
        <v>0</v>
      </c>
      <c r="O107" s="13">
        <v>42451</v>
      </c>
      <c r="P107" s="13">
        <v>42451</v>
      </c>
    </row>
    <row r="108" spans="1:16" ht="14.25">
      <c r="A108" s="10">
        <v>2016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338</v>
      </c>
      <c r="K108" s="12" t="b">
        <v>1</v>
      </c>
      <c r="L108" s="12">
        <v>6</v>
      </c>
      <c r="M108" s="8">
        <v>2022</v>
      </c>
      <c r="N108" s="9">
        <v>0</v>
      </c>
      <c r="O108" s="13">
        <v>42451</v>
      </c>
      <c r="P108" s="13">
        <v>42451</v>
      </c>
    </row>
    <row r="109" spans="1:16" ht="14.25">
      <c r="A109" s="10">
        <v>2016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338</v>
      </c>
      <c r="K109" s="12" t="b">
        <v>1</v>
      </c>
      <c r="L109" s="12">
        <v>7</v>
      </c>
      <c r="M109" s="8">
        <v>2023</v>
      </c>
      <c r="N109" s="9">
        <v>0</v>
      </c>
      <c r="O109" s="13">
        <v>42451</v>
      </c>
      <c r="P109" s="13">
        <v>42451</v>
      </c>
    </row>
    <row r="110" spans="1:16" ht="14.25">
      <c r="A110" s="10">
        <v>2016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338</v>
      </c>
      <c r="K110" s="12" t="b">
        <v>1</v>
      </c>
      <c r="L110" s="12">
        <v>3</v>
      </c>
      <c r="M110" s="8">
        <v>2019</v>
      </c>
      <c r="N110" s="9">
        <v>0</v>
      </c>
      <c r="O110" s="13">
        <v>42451</v>
      </c>
      <c r="P110" s="13">
        <v>42451</v>
      </c>
    </row>
    <row r="111" spans="1:16" ht="14.25">
      <c r="A111" s="10">
        <v>2016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338</v>
      </c>
      <c r="K111" s="12" t="b">
        <v>1</v>
      </c>
      <c r="L111" s="12">
        <v>0</v>
      </c>
      <c r="M111" s="8">
        <v>2016</v>
      </c>
      <c r="N111" s="9">
        <v>0</v>
      </c>
      <c r="O111" s="13">
        <v>42451</v>
      </c>
      <c r="P111" s="13">
        <v>42451</v>
      </c>
    </row>
    <row r="112" spans="1:16" ht="14.25">
      <c r="A112" s="10">
        <v>2016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390</v>
      </c>
      <c r="K112" s="12" t="b">
        <v>1</v>
      </c>
      <c r="L112" s="12">
        <v>7</v>
      </c>
      <c r="M112" s="8">
        <v>2023</v>
      </c>
      <c r="N112" s="9">
        <v>0</v>
      </c>
      <c r="O112" s="13">
        <v>42451</v>
      </c>
      <c r="P112" s="13">
        <v>42451</v>
      </c>
    </row>
    <row r="113" spans="1:16" ht="14.25">
      <c r="A113" s="10">
        <v>2016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390</v>
      </c>
      <c r="K113" s="12" t="b">
        <v>1</v>
      </c>
      <c r="L113" s="12">
        <v>2</v>
      </c>
      <c r="M113" s="8">
        <v>2018</v>
      </c>
      <c r="N113" s="9">
        <v>0</v>
      </c>
      <c r="O113" s="13">
        <v>42451</v>
      </c>
      <c r="P113" s="13">
        <v>42451</v>
      </c>
    </row>
    <row r="114" spans="1:16" ht="14.25">
      <c r="A114" s="10">
        <v>2016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390</v>
      </c>
      <c r="K114" s="12" t="b">
        <v>1</v>
      </c>
      <c r="L114" s="12">
        <v>1</v>
      </c>
      <c r="M114" s="8">
        <v>2017</v>
      </c>
      <c r="N114" s="9">
        <v>0</v>
      </c>
      <c r="O114" s="13">
        <v>42451</v>
      </c>
      <c r="P114" s="13">
        <v>42451</v>
      </c>
    </row>
    <row r="115" spans="1:16" ht="14.25">
      <c r="A115" s="10">
        <v>2016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390</v>
      </c>
      <c r="K115" s="12" t="b">
        <v>1</v>
      </c>
      <c r="L115" s="12">
        <v>4</v>
      </c>
      <c r="M115" s="8">
        <v>2020</v>
      </c>
      <c r="N115" s="9">
        <v>0</v>
      </c>
      <c r="O115" s="13">
        <v>42451</v>
      </c>
      <c r="P115" s="13">
        <v>42451</v>
      </c>
    </row>
    <row r="116" spans="1:16" ht="14.25">
      <c r="A116" s="10">
        <v>2016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390</v>
      </c>
      <c r="K116" s="12" t="b">
        <v>1</v>
      </c>
      <c r="L116" s="12">
        <v>6</v>
      </c>
      <c r="M116" s="8">
        <v>2022</v>
      </c>
      <c r="N116" s="9">
        <v>0</v>
      </c>
      <c r="O116" s="13">
        <v>42451</v>
      </c>
      <c r="P116" s="13">
        <v>42451</v>
      </c>
    </row>
    <row r="117" spans="1:16" ht="14.25">
      <c r="A117" s="10">
        <v>2016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390</v>
      </c>
      <c r="K117" s="12" t="b">
        <v>1</v>
      </c>
      <c r="L117" s="12">
        <v>8</v>
      </c>
      <c r="M117" s="8">
        <v>2024</v>
      </c>
      <c r="N117" s="9">
        <v>0</v>
      </c>
      <c r="O117" s="13">
        <v>42451</v>
      </c>
      <c r="P117" s="13">
        <v>42451</v>
      </c>
    </row>
    <row r="118" spans="1:16" ht="14.25">
      <c r="A118" s="10">
        <v>2016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390</v>
      </c>
      <c r="K118" s="12" t="b">
        <v>1</v>
      </c>
      <c r="L118" s="12">
        <v>0</v>
      </c>
      <c r="M118" s="8">
        <v>2016</v>
      </c>
      <c r="N118" s="9">
        <v>0</v>
      </c>
      <c r="O118" s="13">
        <v>42451</v>
      </c>
      <c r="P118" s="13">
        <v>42451</v>
      </c>
    </row>
    <row r="119" spans="1:16" ht="14.25">
      <c r="A119" s="10">
        <v>2016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390</v>
      </c>
      <c r="K119" s="12" t="b">
        <v>1</v>
      </c>
      <c r="L119" s="12">
        <v>5</v>
      </c>
      <c r="M119" s="8">
        <v>2021</v>
      </c>
      <c r="N119" s="9">
        <v>0</v>
      </c>
      <c r="O119" s="13">
        <v>42451</v>
      </c>
      <c r="P119" s="13">
        <v>42451</v>
      </c>
    </row>
    <row r="120" spans="1:16" ht="14.25">
      <c r="A120" s="10">
        <v>2016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390</v>
      </c>
      <c r="K120" s="12" t="b">
        <v>1</v>
      </c>
      <c r="L120" s="12">
        <v>3</v>
      </c>
      <c r="M120" s="8">
        <v>2019</v>
      </c>
      <c r="N120" s="9">
        <v>0</v>
      </c>
      <c r="O120" s="13">
        <v>42451</v>
      </c>
      <c r="P120" s="13">
        <v>42451</v>
      </c>
    </row>
    <row r="121" spans="1:16" ht="14.25">
      <c r="A121" s="10">
        <v>2016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1</v>
      </c>
      <c r="M121" s="8">
        <v>2017</v>
      </c>
      <c r="N121" s="9">
        <v>0</v>
      </c>
      <c r="O121" s="13">
        <v>42451</v>
      </c>
      <c r="P121" s="13">
        <v>42451</v>
      </c>
    </row>
    <row r="122" spans="1:16" ht="14.25">
      <c r="A122" s="10">
        <v>2016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7</v>
      </c>
      <c r="M122" s="8">
        <v>2023</v>
      </c>
      <c r="N122" s="9">
        <v>0</v>
      </c>
      <c r="O122" s="13">
        <v>42451</v>
      </c>
      <c r="P122" s="13">
        <v>42451</v>
      </c>
    </row>
    <row r="123" spans="1:16" ht="14.25">
      <c r="A123" s="10">
        <v>2016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2022</v>
      </c>
      <c r="N123" s="9">
        <v>0</v>
      </c>
      <c r="O123" s="13">
        <v>42451</v>
      </c>
      <c r="P123" s="13">
        <v>42451</v>
      </c>
    </row>
    <row r="124" spans="1:16" ht="14.25">
      <c r="A124" s="10">
        <v>2016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3</v>
      </c>
      <c r="M124" s="8">
        <v>2019</v>
      </c>
      <c r="N124" s="9">
        <v>0</v>
      </c>
      <c r="O124" s="13">
        <v>42451</v>
      </c>
      <c r="P124" s="13">
        <v>42451</v>
      </c>
    </row>
    <row r="125" spans="1:16" ht="14.25">
      <c r="A125" s="10">
        <v>2016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8</v>
      </c>
      <c r="M125" s="8">
        <v>2024</v>
      </c>
      <c r="N125" s="9">
        <v>0</v>
      </c>
      <c r="O125" s="13">
        <v>42451</v>
      </c>
      <c r="P125" s="13">
        <v>42451</v>
      </c>
    </row>
    <row r="126" spans="1:16" ht="14.25">
      <c r="A126" s="10">
        <v>2016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2</v>
      </c>
      <c r="M126" s="8">
        <v>2018</v>
      </c>
      <c r="N126" s="9">
        <v>0</v>
      </c>
      <c r="O126" s="13">
        <v>42451</v>
      </c>
      <c r="P126" s="13">
        <v>42451</v>
      </c>
    </row>
    <row r="127" spans="1:16" ht="14.25">
      <c r="A127" s="10">
        <v>2016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5</v>
      </c>
      <c r="M127" s="8">
        <v>2021</v>
      </c>
      <c r="N127" s="9">
        <v>0</v>
      </c>
      <c r="O127" s="13">
        <v>42451</v>
      </c>
      <c r="P127" s="13">
        <v>42451</v>
      </c>
    </row>
    <row r="128" spans="1:16" ht="14.25">
      <c r="A128" s="10">
        <v>2016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0</v>
      </c>
      <c r="M128" s="8">
        <v>2016</v>
      </c>
      <c r="N128" s="9">
        <v>0</v>
      </c>
      <c r="O128" s="13">
        <v>42451</v>
      </c>
      <c r="P128" s="13">
        <v>42451</v>
      </c>
    </row>
    <row r="129" spans="1:16" ht="14.25">
      <c r="A129" s="10">
        <v>2016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4</v>
      </c>
      <c r="M129" s="8">
        <v>2020</v>
      </c>
      <c r="N129" s="9">
        <v>0</v>
      </c>
      <c r="O129" s="13">
        <v>42451</v>
      </c>
      <c r="P129" s="13">
        <v>42451</v>
      </c>
    </row>
    <row r="130" spans="1:16" ht="14.25">
      <c r="A130" s="10">
        <v>2016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8</v>
      </c>
      <c r="M130" s="8">
        <v>2024</v>
      </c>
      <c r="N130" s="9">
        <v>0</v>
      </c>
      <c r="O130" s="13">
        <v>42451</v>
      </c>
      <c r="P130" s="13">
        <v>42451</v>
      </c>
    </row>
    <row r="131" spans="1:16" ht="14.25">
      <c r="A131" s="10">
        <v>2016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6</v>
      </c>
      <c r="M131" s="8">
        <v>2022</v>
      </c>
      <c r="N131" s="9">
        <v>0</v>
      </c>
      <c r="O131" s="13">
        <v>42451</v>
      </c>
      <c r="P131" s="13">
        <v>42451</v>
      </c>
    </row>
    <row r="132" spans="1:16" ht="14.25">
      <c r="A132" s="10">
        <v>2016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2</v>
      </c>
      <c r="M132" s="8">
        <v>2018</v>
      </c>
      <c r="N132" s="9">
        <v>0</v>
      </c>
      <c r="O132" s="13">
        <v>42451</v>
      </c>
      <c r="P132" s="13">
        <v>42451</v>
      </c>
    </row>
    <row r="133" spans="1:16" ht="14.25">
      <c r="A133" s="10">
        <v>2016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5</v>
      </c>
      <c r="M133" s="8">
        <v>2021</v>
      </c>
      <c r="N133" s="9">
        <v>0</v>
      </c>
      <c r="O133" s="13">
        <v>42451</v>
      </c>
      <c r="P133" s="13">
        <v>42451</v>
      </c>
    </row>
    <row r="134" spans="1:16" ht="14.25">
      <c r="A134" s="10">
        <v>2016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0</v>
      </c>
      <c r="M134" s="8">
        <v>2016</v>
      </c>
      <c r="N134" s="9">
        <v>0</v>
      </c>
      <c r="O134" s="13">
        <v>42451</v>
      </c>
      <c r="P134" s="13">
        <v>42451</v>
      </c>
    </row>
    <row r="135" spans="1:16" ht="14.25">
      <c r="A135" s="10">
        <v>2016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3</v>
      </c>
      <c r="M135" s="8">
        <v>2019</v>
      </c>
      <c r="N135" s="9">
        <v>0</v>
      </c>
      <c r="O135" s="13">
        <v>42451</v>
      </c>
      <c r="P135" s="13">
        <v>42451</v>
      </c>
    </row>
    <row r="136" spans="1:16" ht="14.25">
      <c r="A136" s="10">
        <v>2016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4</v>
      </c>
      <c r="M136" s="8">
        <v>2020</v>
      </c>
      <c r="N136" s="9">
        <v>0</v>
      </c>
      <c r="O136" s="13">
        <v>42451</v>
      </c>
      <c r="P136" s="13">
        <v>42451</v>
      </c>
    </row>
    <row r="137" spans="1:16" ht="14.25">
      <c r="A137" s="10">
        <v>2016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7</v>
      </c>
      <c r="M137" s="8">
        <v>2023</v>
      </c>
      <c r="N137" s="9">
        <v>0</v>
      </c>
      <c r="O137" s="13">
        <v>42451</v>
      </c>
      <c r="P137" s="13">
        <v>42451</v>
      </c>
    </row>
    <row r="138" spans="1:16" ht="14.25">
      <c r="A138" s="10">
        <v>2016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1</v>
      </c>
      <c r="M138" s="8">
        <v>2017</v>
      </c>
      <c r="N138" s="9">
        <v>0</v>
      </c>
      <c r="O138" s="13">
        <v>42451</v>
      </c>
      <c r="P138" s="13">
        <v>42451</v>
      </c>
    </row>
    <row r="139" spans="1:16" ht="14.25">
      <c r="A139" s="10">
        <v>2016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363</v>
      </c>
      <c r="K139" s="12" t="b">
        <v>1</v>
      </c>
      <c r="L139" s="12">
        <v>4</v>
      </c>
      <c r="M139" s="8">
        <v>2020</v>
      </c>
      <c r="N139" s="9">
        <v>0</v>
      </c>
      <c r="O139" s="13">
        <v>42451</v>
      </c>
      <c r="P139" s="13">
        <v>42451</v>
      </c>
    </row>
    <row r="140" spans="1:16" ht="14.25">
      <c r="A140" s="10">
        <v>2016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363</v>
      </c>
      <c r="K140" s="12" t="b">
        <v>1</v>
      </c>
      <c r="L140" s="12">
        <v>2</v>
      </c>
      <c r="M140" s="8">
        <v>2018</v>
      </c>
      <c r="N140" s="9">
        <v>0</v>
      </c>
      <c r="O140" s="13">
        <v>42451</v>
      </c>
      <c r="P140" s="13">
        <v>42451</v>
      </c>
    </row>
    <row r="141" spans="1:16" ht="14.25">
      <c r="A141" s="10">
        <v>2016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363</v>
      </c>
      <c r="K141" s="12" t="b">
        <v>1</v>
      </c>
      <c r="L141" s="12">
        <v>3</v>
      </c>
      <c r="M141" s="8">
        <v>2019</v>
      </c>
      <c r="N141" s="9">
        <v>0</v>
      </c>
      <c r="O141" s="13">
        <v>42451</v>
      </c>
      <c r="P141" s="13">
        <v>42451</v>
      </c>
    </row>
    <row r="142" spans="1:16" ht="14.25">
      <c r="A142" s="10">
        <v>2016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363</v>
      </c>
      <c r="K142" s="12" t="b">
        <v>1</v>
      </c>
      <c r="L142" s="12">
        <v>5</v>
      </c>
      <c r="M142" s="8">
        <v>2021</v>
      </c>
      <c r="N142" s="9">
        <v>0</v>
      </c>
      <c r="O142" s="13">
        <v>42451</v>
      </c>
      <c r="P142" s="13">
        <v>42451</v>
      </c>
    </row>
    <row r="143" spans="1:16" ht="14.25">
      <c r="A143" s="10">
        <v>2016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363</v>
      </c>
      <c r="K143" s="12" t="b">
        <v>1</v>
      </c>
      <c r="L143" s="12">
        <v>6</v>
      </c>
      <c r="M143" s="8">
        <v>2022</v>
      </c>
      <c r="N143" s="9">
        <v>0</v>
      </c>
      <c r="O143" s="13">
        <v>42451</v>
      </c>
      <c r="P143" s="13">
        <v>42451</v>
      </c>
    </row>
    <row r="144" spans="1:16" ht="14.25">
      <c r="A144" s="10">
        <v>2016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363</v>
      </c>
      <c r="K144" s="12" t="b">
        <v>1</v>
      </c>
      <c r="L144" s="12">
        <v>8</v>
      </c>
      <c r="M144" s="8">
        <v>2024</v>
      </c>
      <c r="N144" s="9">
        <v>0</v>
      </c>
      <c r="O144" s="13">
        <v>42451</v>
      </c>
      <c r="P144" s="13">
        <v>42451</v>
      </c>
    </row>
    <row r="145" spans="1:16" ht="14.25">
      <c r="A145" s="10">
        <v>2016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363</v>
      </c>
      <c r="K145" s="12" t="b">
        <v>1</v>
      </c>
      <c r="L145" s="12">
        <v>0</v>
      </c>
      <c r="M145" s="8">
        <v>2016</v>
      </c>
      <c r="N145" s="9">
        <v>3480.06</v>
      </c>
      <c r="O145" s="13">
        <v>42451</v>
      </c>
      <c r="P145" s="13">
        <v>42451</v>
      </c>
    </row>
    <row r="146" spans="1:16" ht="14.25">
      <c r="A146" s="10">
        <v>2016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363</v>
      </c>
      <c r="K146" s="12" t="b">
        <v>1</v>
      </c>
      <c r="L146" s="12">
        <v>1</v>
      </c>
      <c r="M146" s="8">
        <v>2017</v>
      </c>
      <c r="N146" s="9">
        <v>0</v>
      </c>
      <c r="O146" s="13">
        <v>42451</v>
      </c>
      <c r="P146" s="13">
        <v>42451</v>
      </c>
    </row>
    <row r="147" spans="1:16" ht="14.25">
      <c r="A147" s="10">
        <v>2016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363</v>
      </c>
      <c r="K147" s="12" t="b">
        <v>1</v>
      </c>
      <c r="L147" s="12">
        <v>7</v>
      </c>
      <c r="M147" s="8">
        <v>2023</v>
      </c>
      <c r="N147" s="9">
        <v>0</v>
      </c>
      <c r="O147" s="13">
        <v>42451</v>
      </c>
      <c r="P147" s="13">
        <v>42451</v>
      </c>
    </row>
    <row r="148" spans="1:16" ht="14.25">
      <c r="A148" s="10">
        <v>2016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4</v>
      </c>
      <c r="M148" s="8">
        <v>2020</v>
      </c>
      <c r="N148" s="9">
        <v>0</v>
      </c>
      <c r="O148" s="13">
        <v>42451</v>
      </c>
      <c r="P148" s="13">
        <v>42451</v>
      </c>
    </row>
    <row r="149" spans="1:16" ht="14.25">
      <c r="A149" s="10">
        <v>2016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2</v>
      </c>
      <c r="M149" s="8">
        <v>2018</v>
      </c>
      <c r="N149" s="9">
        <v>0</v>
      </c>
      <c r="O149" s="13">
        <v>42451</v>
      </c>
      <c r="P149" s="13">
        <v>42451</v>
      </c>
    </row>
    <row r="150" spans="1:16" ht="14.25">
      <c r="A150" s="10">
        <v>2016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1</v>
      </c>
      <c r="M150" s="8">
        <v>2017</v>
      </c>
      <c r="N150" s="9">
        <v>0</v>
      </c>
      <c r="O150" s="13">
        <v>42451</v>
      </c>
      <c r="P150" s="13">
        <v>42451</v>
      </c>
    </row>
    <row r="151" spans="1:16" ht="14.25">
      <c r="A151" s="10">
        <v>2016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7</v>
      </c>
      <c r="M151" s="8">
        <v>2023</v>
      </c>
      <c r="N151" s="9">
        <v>0</v>
      </c>
      <c r="O151" s="13">
        <v>42451</v>
      </c>
      <c r="P151" s="13">
        <v>42451</v>
      </c>
    </row>
    <row r="152" spans="1:16" ht="14.25">
      <c r="A152" s="10">
        <v>2016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0</v>
      </c>
      <c r="M152" s="8">
        <v>2016</v>
      </c>
      <c r="N152" s="9">
        <v>21300</v>
      </c>
      <c r="O152" s="13">
        <v>42451</v>
      </c>
      <c r="P152" s="13">
        <v>42451</v>
      </c>
    </row>
    <row r="153" spans="1:16" ht="14.25">
      <c r="A153" s="10">
        <v>2016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5</v>
      </c>
      <c r="M153" s="8">
        <v>2021</v>
      </c>
      <c r="N153" s="9">
        <v>0</v>
      </c>
      <c r="O153" s="13">
        <v>42451</v>
      </c>
      <c r="P153" s="13">
        <v>42451</v>
      </c>
    </row>
    <row r="154" spans="1:16" ht="14.25">
      <c r="A154" s="10">
        <v>2016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8</v>
      </c>
      <c r="M154" s="8">
        <v>2024</v>
      </c>
      <c r="N154" s="9">
        <v>0</v>
      </c>
      <c r="O154" s="13">
        <v>42451</v>
      </c>
      <c r="P154" s="13">
        <v>42451</v>
      </c>
    </row>
    <row r="155" spans="1:16" ht="14.25">
      <c r="A155" s="10">
        <v>2016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3</v>
      </c>
      <c r="M155" s="8">
        <v>2019</v>
      </c>
      <c r="N155" s="9">
        <v>0</v>
      </c>
      <c r="O155" s="13">
        <v>42451</v>
      </c>
      <c r="P155" s="13">
        <v>42451</v>
      </c>
    </row>
    <row r="156" spans="1:16" ht="14.25">
      <c r="A156" s="10">
        <v>2016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6</v>
      </c>
      <c r="M156" s="8">
        <v>2022</v>
      </c>
      <c r="N156" s="9">
        <v>0</v>
      </c>
      <c r="O156" s="13">
        <v>42451</v>
      </c>
      <c r="P156" s="13">
        <v>42451</v>
      </c>
    </row>
    <row r="157" spans="1:16" ht="14.25">
      <c r="A157" s="10">
        <v>2016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4</v>
      </c>
      <c r="M157" s="8">
        <v>2020</v>
      </c>
      <c r="N157" s="9">
        <v>0</v>
      </c>
      <c r="O157" s="13">
        <v>42451</v>
      </c>
      <c r="P157" s="13">
        <v>42451</v>
      </c>
    </row>
    <row r="158" spans="1:16" ht="14.25">
      <c r="A158" s="10">
        <v>2016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1</v>
      </c>
      <c r="M158" s="8">
        <v>2017</v>
      </c>
      <c r="N158" s="9">
        <v>0</v>
      </c>
      <c r="O158" s="13">
        <v>42451</v>
      </c>
      <c r="P158" s="13">
        <v>42451</v>
      </c>
    </row>
    <row r="159" spans="1:16" ht="14.25">
      <c r="A159" s="10">
        <v>2016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3</v>
      </c>
      <c r="M159" s="8">
        <v>2019</v>
      </c>
      <c r="N159" s="9">
        <v>0</v>
      </c>
      <c r="O159" s="13">
        <v>42451</v>
      </c>
      <c r="P159" s="13">
        <v>42451</v>
      </c>
    </row>
    <row r="160" spans="1:16" ht="14.25">
      <c r="A160" s="10">
        <v>2016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2</v>
      </c>
      <c r="M160" s="8">
        <v>2018</v>
      </c>
      <c r="N160" s="9">
        <v>0</v>
      </c>
      <c r="O160" s="13">
        <v>42451</v>
      </c>
      <c r="P160" s="13">
        <v>42451</v>
      </c>
    </row>
    <row r="161" spans="1:16" ht="14.25">
      <c r="A161" s="10">
        <v>2016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8</v>
      </c>
      <c r="M161" s="8">
        <v>2024</v>
      </c>
      <c r="N161" s="9">
        <v>0</v>
      </c>
      <c r="O161" s="13">
        <v>42451</v>
      </c>
      <c r="P161" s="13">
        <v>42451</v>
      </c>
    </row>
    <row r="162" spans="1:16" ht="14.25">
      <c r="A162" s="10">
        <v>2016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7</v>
      </c>
      <c r="M162" s="8">
        <v>2023</v>
      </c>
      <c r="N162" s="9">
        <v>0</v>
      </c>
      <c r="O162" s="13">
        <v>42451</v>
      </c>
      <c r="P162" s="13">
        <v>42451</v>
      </c>
    </row>
    <row r="163" spans="1:16" ht="14.25">
      <c r="A163" s="10">
        <v>2016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5</v>
      </c>
      <c r="M163" s="8">
        <v>2021</v>
      </c>
      <c r="N163" s="9">
        <v>0</v>
      </c>
      <c r="O163" s="13">
        <v>42451</v>
      </c>
      <c r="P163" s="13">
        <v>42451</v>
      </c>
    </row>
    <row r="164" spans="1:16" ht="14.25">
      <c r="A164" s="10">
        <v>2016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0</v>
      </c>
      <c r="M164" s="8">
        <v>2016</v>
      </c>
      <c r="N164" s="9">
        <v>0</v>
      </c>
      <c r="O164" s="13">
        <v>42451</v>
      </c>
      <c r="P164" s="13">
        <v>42451</v>
      </c>
    </row>
    <row r="165" spans="1:16" ht="14.25">
      <c r="A165" s="10">
        <v>2016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6</v>
      </c>
      <c r="M165" s="8">
        <v>2022</v>
      </c>
      <c r="N165" s="9">
        <v>0</v>
      </c>
      <c r="O165" s="13">
        <v>42451</v>
      </c>
      <c r="P165" s="13">
        <v>42451</v>
      </c>
    </row>
    <row r="166" spans="1:16" ht="14.25">
      <c r="A166" s="10">
        <v>2016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1</v>
      </c>
      <c r="M166" s="8">
        <v>2017</v>
      </c>
      <c r="N166" s="9">
        <v>0</v>
      </c>
      <c r="O166" s="13">
        <v>42451</v>
      </c>
      <c r="P166" s="13">
        <v>42451</v>
      </c>
    </row>
    <row r="167" spans="1:16" ht="14.25">
      <c r="A167" s="10">
        <v>2016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2022</v>
      </c>
      <c r="N167" s="9">
        <v>0</v>
      </c>
      <c r="O167" s="13">
        <v>42451</v>
      </c>
      <c r="P167" s="13">
        <v>42451</v>
      </c>
    </row>
    <row r="168" spans="1:16" ht="14.25">
      <c r="A168" s="10">
        <v>2016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7</v>
      </c>
      <c r="M168" s="8">
        <v>2023</v>
      </c>
      <c r="N168" s="9">
        <v>0</v>
      </c>
      <c r="O168" s="13">
        <v>42451</v>
      </c>
      <c r="P168" s="13">
        <v>42451</v>
      </c>
    </row>
    <row r="169" spans="1:16" ht="14.25">
      <c r="A169" s="10">
        <v>2016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8</v>
      </c>
      <c r="M169" s="8">
        <v>2024</v>
      </c>
      <c r="N169" s="9">
        <v>0</v>
      </c>
      <c r="O169" s="13">
        <v>42451</v>
      </c>
      <c r="P169" s="13">
        <v>42451</v>
      </c>
    </row>
    <row r="170" spans="1:16" ht="14.25">
      <c r="A170" s="10">
        <v>2016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4</v>
      </c>
      <c r="M170" s="8">
        <v>2020</v>
      </c>
      <c r="N170" s="9">
        <v>0</v>
      </c>
      <c r="O170" s="13">
        <v>42451</v>
      </c>
      <c r="P170" s="13">
        <v>42451</v>
      </c>
    </row>
    <row r="171" spans="1:16" ht="14.25">
      <c r="A171" s="10">
        <v>2016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2</v>
      </c>
      <c r="M171" s="8">
        <v>2018</v>
      </c>
      <c r="N171" s="9">
        <v>0</v>
      </c>
      <c r="O171" s="13">
        <v>42451</v>
      </c>
      <c r="P171" s="13">
        <v>42451</v>
      </c>
    </row>
    <row r="172" spans="1:16" ht="14.25">
      <c r="A172" s="10">
        <v>2016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2016</v>
      </c>
      <c r="N172" s="9">
        <v>0</v>
      </c>
      <c r="O172" s="13">
        <v>42451</v>
      </c>
      <c r="P172" s="13">
        <v>42451</v>
      </c>
    </row>
    <row r="173" spans="1:16" ht="14.25">
      <c r="A173" s="10">
        <v>2016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3</v>
      </c>
      <c r="M173" s="8">
        <v>2019</v>
      </c>
      <c r="N173" s="9">
        <v>0</v>
      </c>
      <c r="O173" s="13">
        <v>42451</v>
      </c>
      <c r="P173" s="13">
        <v>42451</v>
      </c>
    </row>
    <row r="174" spans="1:16" ht="14.25">
      <c r="A174" s="10">
        <v>2016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5</v>
      </c>
      <c r="M174" s="8">
        <v>2021</v>
      </c>
      <c r="N174" s="9">
        <v>0</v>
      </c>
      <c r="O174" s="13">
        <v>42451</v>
      </c>
      <c r="P174" s="13">
        <v>42451</v>
      </c>
    </row>
    <row r="175" spans="1:16" ht="14.25">
      <c r="A175" s="10">
        <v>2016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0</v>
      </c>
      <c r="M175" s="8">
        <v>2016</v>
      </c>
      <c r="N175" s="9">
        <v>147959</v>
      </c>
      <c r="O175" s="13">
        <v>42451</v>
      </c>
      <c r="P175" s="13">
        <v>42451</v>
      </c>
    </row>
    <row r="176" spans="1:16" ht="14.25">
      <c r="A176" s="10">
        <v>2016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4</v>
      </c>
      <c r="M176" s="8">
        <v>2020</v>
      </c>
      <c r="N176" s="9">
        <v>0</v>
      </c>
      <c r="O176" s="13">
        <v>42451</v>
      </c>
      <c r="P176" s="13">
        <v>42451</v>
      </c>
    </row>
    <row r="177" spans="1:16" ht="14.25">
      <c r="A177" s="10">
        <v>2016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8</v>
      </c>
      <c r="M177" s="8">
        <v>2024</v>
      </c>
      <c r="N177" s="9">
        <v>0</v>
      </c>
      <c r="O177" s="13">
        <v>42451</v>
      </c>
      <c r="P177" s="13">
        <v>42451</v>
      </c>
    </row>
    <row r="178" spans="1:16" ht="14.25">
      <c r="A178" s="10">
        <v>2016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2</v>
      </c>
      <c r="M178" s="8">
        <v>2018</v>
      </c>
      <c r="N178" s="9">
        <v>0</v>
      </c>
      <c r="O178" s="13">
        <v>42451</v>
      </c>
      <c r="P178" s="13">
        <v>42451</v>
      </c>
    </row>
    <row r="179" spans="1:16" ht="14.25">
      <c r="A179" s="10">
        <v>2016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6</v>
      </c>
      <c r="M179" s="8">
        <v>2022</v>
      </c>
      <c r="N179" s="9">
        <v>0</v>
      </c>
      <c r="O179" s="13">
        <v>42451</v>
      </c>
      <c r="P179" s="13">
        <v>42451</v>
      </c>
    </row>
    <row r="180" spans="1:16" ht="14.25">
      <c r="A180" s="10">
        <v>2016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7</v>
      </c>
      <c r="M180" s="8">
        <v>2023</v>
      </c>
      <c r="N180" s="9">
        <v>0</v>
      </c>
      <c r="O180" s="13">
        <v>42451</v>
      </c>
      <c r="P180" s="13">
        <v>42451</v>
      </c>
    </row>
    <row r="181" spans="1:16" ht="14.25">
      <c r="A181" s="10">
        <v>2016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5</v>
      </c>
      <c r="M181" s="8">
        <v>2021</v>
      </c>
      <c r="N181" s="9">
        <v>0</v>
      </c>
      <c r="O181" s="13">
        <v>42451</v>
      </c>
      <c r="P181" s="13">
        <v>42451</v>
      </c>
    </row>
    <row r="182" spans="1:16" ht="14.25">
      <c r="A182" s="10">
        <v>2016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1</v>
      </c>
      <c r="M182" s="8">
        <v>2017</v>
      </c>
      <c r="N182" s="9">
        <v>100000</v>
      </c>
      <c r="O182" s="13">
        <v>42451</v>
      </c>
      <c r="P182" s="13">
        <v>42451</v>
      </c>
    </row>
    <row r="183" spans="1:16" ht="14.25">
      <c r="A183" s="10">
        <v>2016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3</v>
      </c>
      <c r="M183" s="8">
        <v>2019</v>
      </c>
      <c r="N183" s="9">
        <v>0</v>
      </c>
      <c r="O183" s="13">
        <v>42451</v>
      </c>
      <c r="P183" s="13">
        <v>42451</v>
      </c>
    </row>
    <row r="184" spans="1:16" ht="14.25">
      <c r="A184" s="10">
        <v>2016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3</v>
      </c>
      <c r="M184" s="8">
        <v>2019</v>
      </c>
      <c r="N184" s="9">
        <v>24868000</v>
      </c>
      <c r="O184" s="13">
        <v>42451</v>
      </c>
      <c r="P184" s="13">
        <v>42451</v>
      </c>
    </row>
    <row r="185" spans="1:16" ht="14.25">
      <c r="A185" s="10">
        <v>2016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6</v>
      </c>
      <c r="M185" s="8">
        <v>2022</v>
      </c>
      <c r="N185" s="9">
        <v>25876000</v>
      </c>
      <c r="O185" s="13">
        <v>42451</v>
      </c>
      <c r="P185" s="13">
        <v>42451</v>
      </c>
    </row>
    <row r="186" spans="1:16" ht="14.25">
      <c r="A186" s="10">
        <v>2016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0</v>
      </c>
      <c r="M186" s="8">
        <v>2016</v>
      </c>
      <c r="N186" s="9">
        <v>23460837.12</v>
      </c>
      <c r="O186" s="13">
        <v>42451</v>
      </c>
      <c r="P186" s="13">
        <v>42451</v>
      </c>
    </row>
    <row r="187" spans="1:16" ht="14.25">
      <c r="A187" s="10">
        <v>2016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2</v>
      </c>
      <c r="M187" s="8">
        <v>2018</v>
      </c>
      <c r="N187" s="9">
        <v>24380000</v>
      </c>
      <c r="O187" s="13">
        <v>42451</v>
      </c>
      <c r="P187" s="13">
        <v>42451</v>
      </c>
    </row>
    <row r="188" spans="1:16" ht="14.25">
      <c r="A188" s="10">
        <v>2016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1</v>
      </c>
      <c r="M188" s="8">
        <v>2017</v>
      </c>
      <c r="N188" s="9">
        <v>23903000</v>
      </c>
      <c r="O188" s="13">
        <v>42451</v>
      </c>
      <c r="P188" s="13">
        <v>42451</v>
      </c>
    </row>
    <row r="189" spans="1:16" ht="14.25">
      <c r="A189" s="10">
        <v>2016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5</v>
      </c>
      <c r="M189" s="8">
        <v>2021</v>
      </c>
      <c r="N189" s="9">
        <v>25619000</v>
      </c>
      <c r="O189" s="13">
        <v>42451</v>
      </c>
      <c r="P189" s="13">
        <v>42451</v>
      </c>
    </row>
    <row r="190" spans="1:16" ht="14.25">
      <c r="A190" s="10">
        <v>2016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8</v>
      </c>
      <c r="M190" s="8">
        <v>2024</v>
      </c>
      <c r="N190" s="9">
        <v>26396000</v>
      </c>
      <c r="O190" s="13">
        <v>42451</v>
      </c>
      <c r="P190" s="13">
        <v>42451</v>
      </c>
    </row>
    <row r="191" spans="1:16" ht="14.25">
      <c r="A191" s="10">
        <v>2016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7</v>
      </c>
      <c r="M191" s="8">
        <v>2023</v>
      </c>
      <c r="N191" s="9">
        <v>26135000</v>
      </c>
      <c r="O191" s="13">
        <v>42451</v>
      </c>
      <c r="P191" s="13">
        <v>42451</v>
      </c>
    </row>
    <row r="192" spans="1:16" ht="14.25">
      <c r="A192" s="10">
        <v>2016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4</v>
      </c>
      <c r="M192" s="8">
        <v>2020</v>
      </c>
      <c r="N192" s="9">
        <v>25366000</v>
      </c>
      <c r="O192" s="13">
        <v>42451</v>
      </c>
      <c r="P192" s="13">
        <v>42451</v>
      </c>
    </row>
    <row r="193" spans="1:16" ht="14.25">
      <c r="A193" s="10">
        <v>2016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970</v>
      </c>
      <c r="H193" s="12" t="s">
        <v>394</v>
      </c>
      <c r="I193" s="12"/>
      <c r="J193" s="12" t="s">
        <v>395</v>
      </c>
      <c r="K193" s="12" t="b">
        <v>1</v>
      </c>
      <c r="L193" s="12">
        <v>6</v>
      </c>
      <c r="M193" s="8">
        <v>2022</v>
      </c>
      <c r="N193" s="9">
        <v>0</v>
      </c>
      <c r="O193" s="13">
        <v>42451</v>
      </c>
      <c r="P193" s="13">
        <v>42451</v>
      </c>
    </row>
    <row r="194" spans="1:16" ht="14.25">
      <c r="A194" s="10">
        <v>2016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970</v>
      </c>
      <c r="H194" s="12" t="s">
        <v>394</v>
      </c>
      <c r="I194" s="12"/>
      <c r="J194" s="12" t="s">
        <v>395</v>
      </c>
      <c r="K194" s="12" t="b">
        <v>1</v>
      </c>
      <c r="L194" s="12">
        <v>4</v>
      </c>
      <c r="M194" s="8">
        <v>2020</v>
      </c>
      <c r="N194" s="9">
        <v>0</v>
      </c>
      <c r="O194" s="13">
        <v>42451</v>
      </c>
      <c r="P194" s="13">
        <v>42451</v>
      </c>
    </row>
    <row r="195" spans="1:16" ht="14.25">
      <c r="A195" s="10">
        <v>2016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970</v>
      </c>
      <c r="H195" s="12" t="s">
        <v>394</v>
      </c>
      <c r="I195" s="12"/>
      <c r="J195" s="12" t="s">
        <v>395</v>
      </c>
      <c r="K195" s="12" t="b">
        <v>1</v>
      </c>
      <c r="L195" s="12">
        <v>7</v>
      </c>
      <c r="M195" s="8">
        <v>2023</v>
      </c>
      <c r="N195" s="9">
        <v>0</v>
      </c>
      <c r="O195" s="13">
        <v>42451</v>
      </c>
      <c r="P195" s="13">
        <v>42451</v>
      </c>
    </row>
    <row r="196" spans="1:16" ht="14.25">
      <c r="A196" s="10">
        <v>2016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970</v>
      </c>
      <c r="H196" s="12" t="s">
        <v>394</v>
      </c>
      <c r="I196" s="12"/>
      <c r="J196" s="12" t="s">
        <v>395</v>
      </c>
      <c r="K196" s="12" t="b">
        <v>1</v>
      </c>
      <c r="L196" s="12">
        <v>1</v>
      </c>
      <c r="M196" s="8">
        <v>2017</v>
      </c>
      <c r="N196" s="9">
        <v>0</v>
      </c>
      <c r="O196" s="13">
        <v>42451</v>
      </c>
      <c r="P196" s="13">
        <v>42451</v>
      </c>
    </row>
    <row r="197" spans="1:16" ht="14.25">
      <c r="A197" s="10">
        <v>2016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970</v>
      </c>
      <c r="H197" s="12" t="s">
        <v>394</v>
      </c>
      <c r="I197" s="12"/>
      <c r="J197" s="12" t="s">
        <v>395</v>
      </c>
      <c r="K197" s="12" t="b">
        <v>1</v>
      </c>
      <c r="L197" s="12">
        <v>5</v>
      </c>
      <c r="M197" s="8">
        <v>2021</v>
      </c>
      <c r="N197" s="9">
        <v>0</v>
      </c>
      <c r="O197" s="13">
        <v>42451</v>
      </c>
      <c r="P197" s="13">
        <v>42451</v>
      </c>
    </row>
    <row r="198" spans="1:16" ht="14.25">
      <c r="A198" s="10">
        <v>2016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970</v>
      </c>
      <c r="H198" s="12" t="s">
        <v>394</v>
      </c>
      <c r="I198" s="12"/>
      <c r="J198" s="12" t="s">
        <v>395</v>
      </c>
      <c r="K198" s="12" t="b">
        <v>1</v>
      </c>
      <c r="L198" s="12">
        <v>3</v>
      </c>
      <c r="M198" s="8">
        <v>2019</v>
      </c>
      <c r="N198" s="9">
        <v>0</v>
      </c>
      <c r="O198" s="13">
        <v>42451</v>
      </c>
      <c r="P198" s="13">
        <v>42451</v>
      </c>
    </row>
    <row r="199" spans="1:16" ht="14.25">
      <c r="A199" s="10">
        <v>2016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970</v>
      </c>
      <c r="H199" s="12" t="s">
        <v>394</v>
      </c>
      <c r="I199" s="12"/>
      <c r="J199" s="12" t="s">
        <v>395</v>
      </c>
      <c r="K199" s="12" t="b">
        <v>1</v>
      </c>
      <c r="L199" s="12">
        <v>8</v>
      </c>
      <c r="M199" s="8">
        <v>2024</v>
      </c>
      <c r="N199" s="9">
        <v>0</v>
      </c>
      <c r="O199" s="13">
        <v>42451</v>
      </c>
      <c r="P199" s="13">
        <v>42451</v>
      </c>
    </row>
    <row r="200" spans="1:16" ht="14.25">
      <c r="A200" s="10">
        <v>2016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970</v>
      </c>
      <c r="H200" s="12" t="s">
        <v>394</v>
      </c>
      <c r="I200" s="12"/>
      <c r="J200" s="12" t="s">
        <v>395</v>
      </c>
      <c r="K200" s="12" t="b">
        <v>1</v>
      </c>
      <c r="L200" s="12">
        <v>0</v>
      </c>
      <c r="M200" s="8">
        <v>2016</v>
      </c>
      <c r="N200" s="9">
        <v>0</v>
      </c>
      <c r="O200" s="13">
        <v>42451</v>
      </c>
      <c r="P200" s="13">
        <v>42451</v>
      </c>
    </row>
    <row r="201" spans="1:16" ht="14.25">
      <c r="A201" s="10">
        <v>2016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970</v>
      </c>
      <c r="H201" s="12" t="s">
        <v>394</v>
      </c>
      <c r="I201" s="12"/>
      <c r="J201" s="12" t="s">
        <v>395</v>
      </c>
      <c r="K201" s="12" t="b">
        <v>1</v>
      </c>
      <c r="L201" s="12">
        <v>2</v>
      </c>
      <c r="M201" s="8">
        <v>2018</v>
      </c>
      <c r="N201" s="9">
        <v>0</v>
      </c>
      <c r="O201" s="13">
        <v>42451</v>
      </c>
      <c r="P201" s="13">
        <v>42451</v>
      </c>
    </row>
    <row r="202" spans="1:16" ht="14.25">
      <c r="A202" s="10">
        <v>2016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1</v>
      </c>
      <c r="M202" s="8">
        <v>2017</v>
      </c>
      <c r="N202" s="9">
        <v>0</v>
      </c>
      <c r="O202" s="13">
        <v>42451</v>
      </c>
      <c r="P202" s="13">
        <v>42451</v>
      </c>
    </row>
    <row r="203" spans="1:16" ht="14.25">
      <c r="A203" s="10">
        <v>2016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4</v>
      </c>
      <c r="M203" s="8">
        <v>2020</v>
      </c>
      <c r="N203" s="9">
        <v>0</v>
      </c>
      <c r="O203" s="13">
        <v>42451</v>
      </c>
      <c r="P203" s="13">
        <v>42451</v>
      </c>
    </row>
    <row r="204" spans="1:16" ht="14.25">
      <c r="A204" s="10">
        <v>2016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5</v>
      </c>
      <c r="M204" s="8">
        <v>2021</v>
      </c>
      <c r="N204" s="9">
        <v>0</v>
      </c>
      <c r="O204" s="13">
        <v>42451</v>
      </c>
      <c r="P204" s="13">
        <v>42451</v>
      </c>
    </row>
    <row r="205" spans="1:16" ht="14.25">
      <c r="A205" s="10">
        <v>2016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3</v>
      </c>
      <c r="M205" s="8">
        <v>2019</v>
      </c>
      <c r="N205" s="9">
        <v>0</v>
      </c>
      <c r="O205" s="13">
        <v>42451</v>
      </c>
      <c r="P205" s="13">
        <v>42451</v>
      </c>
    </row>
    <row r="206" spans="1:16" ht="14.25">
      <c r="A206" s="10">
        <v>2016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0</v>
      </c>
      <c r="M206" s="8">
        <v>2016</v>
      </c>
      <c r="N206" s="9">
        <v>1973448</v>
      </c>
      <c r="O206" s="13">
        <v>42451</v>
      </c>
      <c r="P206" s="13">
        <v>42451</v>
      </c>
    </row>
    <row r="207" spans="1:16" ht="14.25">
      <c r="A207" s="10">
        <v>2016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2022</v>
      </c>
      <c r="N207" s="9">
        <v>0</v>
      </c>
      <c r="O207" s="13">
        <v>42451</v>
      </c>
      <c r="P207" s="13">
        <v>42451</v>
      </c>
    </row>
    <row r="208" spans="1:16" ht="14.25">
      <c r="A208" s="10">
        <v>2016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8</v>
      </c>
      <c r="M208" s="8">
        <v>2024</v>
      </c>
      <c r="N208" s="9">
        <v>0</v>
      </c>
      <c r="O208" s="13">
        <v>42451</v>
      </c>
      <c r="P208" s="13">
        <v>42451</v>
      </c>
    </row>
    <row r="209" spans="1:16" ht="14.25">
      <c r="A209" s="10">
        <v>2016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2</v>
      </c>
      <c r="M209" s="8">
        <v>2018</v>
      </c>
      <c r="N209" s="9">
        <v>0</v>
      </c>
      <c r="O209" s="13">
        <v>42451</v>
      </c>
      <c r="P209" s="13">
        <v>42451</v>
      </c>
    </row>
    <row r="210" spans="1:16" ht="14.25">
      <c r="A210" s="10">
        <v>2016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7</v>
      </c>
      <c r="M210" s="8">
        <v>2023</v>
      </c>
      <c r="N210" s="9">
        <v>0</v>
      </c>
      <c r="O210" s="13">
        <v>42451</v>
      </c>
      <c r="P210" s="13">
        <v>42451</v>
      </c>
    </row>
    <row r="211" spans="1:16" ht="14.25">
      <c r="A211" s="10">
        <v>2016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3</v>
      </c>
      <c r="M211" s="8">
        <v>2019</v>
      </c>
      <c r="N211" s="9">
        <v>0</v>
      </c>
      <c r="O211" s="13">
        <v>42451</v>
      </c>
      <c r="P211" s="13">
        <v>42451</v>
      </c>
    </row>
    <row r="212" spans="1:16" ht="14.25">
      <c r="A212" s="10">
        <v>2016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2023</v>
      </c>
      <c r="N212" s="9">
        <v>0</v>
      </c>
      <c r="O212" s="13">
        <v>42451</v>
      </c>
      <c r="P212" s="13">
        <v>42451</v>
      </c>
    </row>
    <row r="213" spans="1:16" ht="14.25">
      <c r="A213" s="10">
        <v>2016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8</v>
      </c>
      <c r="M213" s="8">
        <v>2024</v>
      </c>
      <c r="N213" s="9">
        <v>0</v>
      </c>
      <c r="O213" s="13">
        <v>42451</v>
      </c>
      <c r="P213" s="13">
        <v>42451</v>
      </c>
    </row>
    <row r="214" spans="1:16" ht="14.25">
      <c r="A214" s="10">
        <v>2016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0</v>
      </c>
      <c r="M214" s="8">
        <v>2016</v>
      </c>
      <c r="N214" s="9">
        <v>0</v>
      </c>
      <c r="O214" s="13">
        <v>42451</v>
      </c>
      <c r="P214" s="13">
        <v>42451</v>
      </c>
    </row>
    <row r="215" spans="1:16" ht="14.25">
      <c r="A215" s="10">
        <v>2016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6</v>
      </c>
      <c r="M215" s="8">
        <v>2022</v>
      </c>
      <c r="N215" s="9">
        <v>0</v>
      </c>
      <c r="O215" s="13">
        <v>42451</v>
      </c>
      <c r="P215" s="13">
        <v>42451</v>
      </c>
    </row>
    <row r="216" spans="1:16" ht="14.25">
      <c r="A216" s="10">
        <v>2016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5</v>
      </c>
      <c r="M216" s="8">
        <v>2021</v>
      </c>
      <c r="N216" s="9">
        <v>0</v>
      </c>
      <c r="O216" s="13">
        <v>42451</v>
      </c>
      <c r="P216" s="13">
        <v>42451</v>
      </c>
    </row>
    <row r="217" spans="1:16" ht="14.25">
      <c r="A217" s="10">
        <v>2016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2</v>
      </c>
      <c r="M217" s="8">
        <v>2018</v>
      </c>
      <c r="N217" s="9">
        <v>0</v>
      </c>
      <c r="O217" s="13">
        <v>42451</v>
      </c>
      <c r="P217" s="13">
        <v>42451</v>
      </c>
    </row>
    <row r="218" spans="1:16" ht="14.25">
      <c r="A218" s="10">
        <v>2016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1</v>
      </c>
      <c r="M218" s="8">
        <v>2017</v>
      </c>
      <c r="N218" s="9">
        <v>0</v>
      </c>
      <c r="O218" s="13">
        <v>42451</v>
      </c>
      <c r="P218" s="13">
        <v>42451</v>
      </c>
    </row>
    <row r="219" spans="1:16" ht="14.25">
      <c r="A219" s="10">
        <v>2016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4</v>
      </c>
      <c r="M219" s="8">
        <v>2020</v>
      </c>
      <c r="N219" s="9">
        <v>0</v>
      </c>
      <c r="O219" s="13">
        <v>42451</v>
      </c>
      <c r="P219" s="13">
        <v>42451</v>
      </c>
    </row>
    <row r="220" spans="1:16" ht="14.25">
      <c r="A220" s="10">
        <v>2016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393</v>
      </c>
      <c r="K220" s="12" t="b">
        <v>1</v>
      </c>
      <c r="L220" s="12">
        <v>2</v>
      </c>
      <c r="M220" s="8">
        <v>2018</v>
      </c>
      <c r="N220" s="9">
        <v>0</v>
      </c>
      <c r="O220" s="13">
        <v>42451</v>
      </c>
      <c r="P220" s="13">
        <v>42451</v>
      </c>
    </row>
    <row r="221" spans="1:16" ht="14.25">
      <c r="A221" s="10">
        <v>2016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393</v>
      </c>
      <c r="K221" s="12" t="b">
        <v>1</v>
      </c>
      <c r="L221" s="12">
        <v>3</v>
      </c>
      <c r="M221" s="8">
        <v>2019</v>
      </c>
      <c r="N221" s="9">
        <v>0</v>
      </c>
      <c r="O221" s="13">
        <v>42451</v>
      </c>
      <c r="P221" s="13">
        <v>42451</v>
      </c>
    </row>
    <row r="222" spans="1:16" ht="14.25">
      <c r="A222" s="10">
        <v>2016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393</v>
      </c>
      <c r="K222" s="12" t="b">
        <v>1</v>
      </c>
      <c r="L222" s="12">
        <v>5</v>
      </c>
      <c r="M222" s="8">
        <v>2021</v>
      </c>
      <c r="N222" s="9">
        <v>0</v>
      </c>
      <c r="O222" s="13">
        <v>42451</v>
      </c>
      <c r="P222" s="13">
        <v>42451</v>
      </c>
    </row>
    <row r="223" spans="1:16" ht="14.25">
      <c r="A223" s="10">
        <v>2016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393</v>
      </c>
      <c r="K223" s="12" t="b">
        <v>1</v>
      </c>
      <c r="L223" s="12">
        <v>0</v>
      </c>
      <c r="M223" s="8">
        <v>2016</v>
      </c>
      <c r="N223" s="9">
        <v>0</v>
      </c>
      <c r="O223" s="13">
        <v>42451</v>
      </c>
      <c r="P223" s="13">
        <v>42451</v>
      </c>
    </row>
    <row r="224" spans="1:16" ht="14.25">
      <c r="A224" s="10">
        <v>2016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393</v>
      </c>
      <c r="K224" s="12" t="b">
        <v>1</v>
      </c>
      <c r="L224" s="12">
        <v>7</v>
      </c>
      <c r="M224" s="8">
        <v>2023</v>
      </c>
      <c r="N224" s="9">
        <v>0</v>
      </c>
      <c r="O224" s="13">
        <v>42451</v>
      </c>
      <c r="P224" s="13">
        <v>42451</v>
      </c>
    </row>
    <row r="225" spans="1:16" ht="14.25">
      <c r="A225" s="10">
        <v>2016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393</v>
      </c>
      <c r="K225" s="12" t="b">
        <v>1</v>
      </c>
      <c r="L225" s="12">
        <v>8</v>
      </c>
      <c r="M225" s="8">
        <v>2024</v>
      </c>
      <c r="N225" s="9">
        <v>0</v>
      </c>
      <c r="O225" s="13">
        <v>42451</v>
      </c>
      <c r="P225" s="13">
        <v>42451</v>
      </c>
    </row>
    <row r="226" spans="1:16" ht="14.25">
      <c r="A226" s="10">
        <v>2016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393</v>
      </c>
      <c r="K226" s="12" t="b">
        <v>1</v>
      </c>
      <c r="L226" s="12">
        <v>4</v>
      </c>
      <c r="M226" s="8">
        <v>2020</v>
      </c>
      <c r="N226" s="9">
        <v>0</v>
      </c>
      <c r="O226" s="13">
        <v>42451</v>
      </c>
      <c r="P226" s="13">
        <v>42451</v>
      </c>
    </row>
    <row r="227" spans="1:16" ht="14.25">
      <c r="A227" s="10">
        <v>2016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393</v>
      </c>
      <c r="K227" s="12" t="b">
        <v>1</v>
      </c>
      <c r="L227" s="12">
        <v>1</v>
      </c>
      <c r="M227" s="8">
        <v>2017</v>
      </c>
      <c r="N227" s="9">
        <v>0</v>
      </c>
      <c r="O227" s="13">
        <v>42451</v>
      </c>
      <c r="P227" s="13">
        <v>42451</v>
      </c>
    </row>
    <row r="228" spans="1:16" ht="14.25">
      <c r="A228" s="10">
        <v>2016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393</v>
      </c>
      <c r="K228" s="12" t="b">
        <v>1</v>
      </c>
      <c r="L228" s="12">
        <v>6</v>
      </c>
      <c r="M228" s="8">
        <v>2022</v>
      </c>
      <c r="N228" s="9">
        <v>0</v>
      </c>
      <c r="O228" s="13">
        <v>42451</v>
      </c>
      <c r="P228" s="13">
        <v>42451</v>
      </c>
    </row>
    <row r="229" spans="1:16" ht="14.25">
      <c r="A229" s="10">
        <v>2016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7</v>
      </c>
      <c r="M229" s="8">
        <v>2023</v>
      </c>
      <c r="N229" s="9">
        <v>0</v>
      </c>
      <c r="O229" s="13">
        <v>42451</v>
      </c>
      <c r="P229" s="13">
        <v>42451</v>
      </c>
    </row>
    <row r="230" spans="1:16" ht="14.25">
      <c r="A230" s="10">
        <v>2016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6</v>
      </c>
      <c r="M230" s="8">
        <v>2022</v>
      </c>
      <c r="N230" s="9">
        <v>0</v>
      </c>
      <c r="O230" s="13">
        <v>42451</v>
      </c>
      <c r="P230" s="13">
        <v>42451</v>
      </c>
    </row>
    <row r="231" spans="1:16" ht="14.25">
      <c r="A231" s="10">
        <v>2016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3</v>
      </c>
      <c r="M231" s="8">
        <v>2019</v>
      </c>
      <c r="N231" s="9">
        <v>0</v>
      </c>
      <c r="O231" s="13">
        <v>42451</v>
      </c>
      <c r="P231" s="13">
        <v>42451</v>
      </c>
    </row>
    <row r="232" spans="1:16" ht="14.25">
      <c r="A232" s="10">
        <v>2016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0</v>
      </c>
      <c r="M232" s="8">
        <v>2016</v>
      </c>
      <c r="N232" s="9">
        <v>0</v>
      </c>
      <c r="O232" s="13">
        <v>42451</v>
      </c>
      <c r="P232" s="13">
        <v>42451</v>
      </c>
    </row>
    <row r="233" spans="1:16" ht="14.25">
      <c r="A233" s="10">
        <v>2016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2</v>
      </c>
      <c r="M233" s="8">
        <v>2018</v>
      </c>
      <c r="N233" s="9">
        <v>0</v>
      </c>
      <c r="O233" s="13">
        <v>42451</v>
      </c>
      <c r="P233" s="13">
        <v>42451</v>
      </c>
    </row>
    <row r="234" spans="1:16" ht="14.25">
      <c r="A234" s="10">
        <v>2016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5</v>
      </c>
      <c r="M234" s="8">
        <v>2021</v>
      </c>
      <c r="N234" s="9">
        <v>0</v>
      </c>
      <c r="O234" s="13">
        <v>42451</v>
      </c>
      <c r="P234" s="13">
        <v>42451</v>
      </c>
    </row>
    <row r="235" spans="1:16" ht="14.25">
      <c r="A235" s="10">
        <v>2016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4</v>
      </c>
      <c r="M235" s="8">
        <v>2020</v>
      </c>
      <c r="N235" s="9">
        <v>0</v>
      </c>
      <c r="O235" s="13">
        <v>42451</v>
      </c>
      <c r="P235" s="13">
        <v>42451</v>
      </c>
    </row>
    <row r="236" spans="1:16" ht="14.25">
      <c r="A236" s="10">
        <v>2016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8</v>
      </c>
      <c r="M236" s="8">
        <v>2024</v>
      </c>
      <c r="N236" s="9">
        <v>0</v>
      </c>
      <c r="O236" s="13">
        <v>42451</v>
      </c>
      <c r="P236" s="13">
        <v>42451</v>
      </c>
    </row>
    <row r="237" spans="1:16" ht="14.25">
      <c r="A237" s="10">
        <v>2016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1</v>
      </c>
      <c r="M237" s="8">
        <v>2017</v>
      </c>
      <c r="N237" s="9">
        <v>0</v>
      </c>
      <c r="O237" s="13">
        <v>42451</v>
      </c>
      <c r="P237" s="13">
        <v>42451</v>
      </c>
    </row>
    <row r="238" spans="1:16" ht="14.25">
      <c r="A238" s="10">
        <v>2016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0</v>
      </c>
      <c r="M238" s="8">
        <v>2016</v>
      </c>
      <c r="N238" s="9">
        <v>0</v>
      </c>
      <c r="O238" s="13">
        <v>42451</v>
      </c>
      <c r="P238" s="13">
        <v>42451</v>
      </c>
    </row>
    <row r="239" spans="1:16" ht="14.25">
      <c r="A239" s="10">
        <v>2016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7</v>
      </c>
      <c r="M239" s="8">
        <v>2023</v>
      </c>
      <c r="N239" s="9">
        <v>0</v>
      </c>
      <c r="O239" s="13">
        <v>42451</v>
      </c>
      <c r="P239" s="13">
        <v>42451</v>
      </c>
    </row>
    <row r="240" spans="1:16" ht="14.25">
      <c r="A240" s="10">
        <v>2016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8</v>
      </c>
      <c r="M240" s="8">
        <v>2024</v>
      </c>
      <c r="N240" s="9">
        <v>0</v>
      </c>
      <c r="O240" s="13">
        <v>42451</v>
      </c>
      <c r="P240" s="13">
        <v>42451</v>
      </c>
    </row>
    <row r="241" spans="1:16" ht="14.25">
      <c r="A241" s="10">
        <v>2016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5</v>
      </c>
      <c r="M241" s="8">
        <v>2021</v>
      </c>
      <c r="N241" s="9">
        <v>0</v>
      </c>
      <c r="O241" s="13">
        <v>42451</v>
      </c>
      <c r="P241" s="13">
        <v>42451</v>
      </c>
    </row>
    <row r="242" spans="1:16" ht="14.25">
      <c r="A242" s="10">
        <v>2016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2</v>
      </c>
      <c r="M242" s="8">
        <v>2018</v>
      </c>
      <c r="N242" s="9">
        <v>0</v>
      </c>
      <c r="O242" s="13">
        <v>42451</v>
      </c>
      <c r="P242" s="13">
        <v>42451</v>
      </c>
    </row>
    <row r="243" spans="1:16" ht="14.25">
      <c r="A243" s="10">
        <v>2016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2017</v>
      </c>
      <c r="N243" s="9">
        <v>0</v>
      </c>
      <c r="O243" s="13">
        <v>42451</v>
      </c>
      <c r="P243" s="13">
        <v>42451</v>
      </c>
    </row>
    <row r="244" spans="1:16" ht="14.25">
      <c r="A244" s="10">
        <v>2016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4</v>
      </c>
      <c r="M244" s="8">
        <v>2020</v>
      </c>
      <c r="N244" s="9">
        <v>0</v>
      </c>
      <c r="O244" s="13">
        <v>42451</v>
      </c>
      <c r="P244" s="13">
        <v>42451</v>
      </c>
    </row>
    <row r="245" spans="1:16" ht="14.25">
      <c r="A245" s="10">
        <v>2016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3</v>
      </c>
      <c r="M245" s="8">
        <v>2019</v>
      </c>
      <c r="N245" s="9">
        <v>0</v>
      </c>
      <c r="O245" s="13">
        <v>42451</v>
      </c>
      <c r="P245" s="13">
        <v>42451</v>
      </c>
    </row>
    <row r="246" spans="1:16" ht="14.25">
      <c r="A246" s="10">
        <v>2016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6</v>
      </c>
      <c r="M246" s="8">
        <v>2022</v>
      </c>
      <c r="N246" s="9">
        <v>0</v>
      </c>
      <c r="O246" s="13">
        <v>42451</v>
      </c>
      <c r="P246" s="13">
        <v>42451</v>
      </c>
    </row>
    <row r="247" spans="1:16" ht="14.25">
      <c r="A247" s="10">
        <v>2016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2</v>
      </c>
      <c r="M247" s="8">
        <v>2018</v>
      </c>
      <c r="N247" s="9">
        <v>947379.45</v>
      </c>
      <c r="O247" s="13">
        <v>42451</v>
      </c>
      <c r="P247" s="13">
        <v>42451</v>
      </c>
    </row>
    <row r="248" spans="1:16" ht="14.25">
      <c r="A248" s="10">
        <v>2016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7</v>
      </c>
      <c r="M248" s="8">
        <v>2023</v>
      </c>
      <c r="N248" s="9">
        <v>585614.88</v>
      </c>
      <c r="O248" s="13">
        <v>42451</v>
      </c>
      <c r="P248" s="13">
        <v>42451</v>
      </c>
    </row>
    <row r="249" spans="1:16" ht="14.25">
      <c r="A249" s="10">
        <v>2016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5</v>
      </c>
      <c r="M249" s="8">
        <v>2021</v>
      </c>
      <c r="N249" s="9">
        <v>663414.88</v>
      </c>
      <c r="O249" s="13">
        <v>42451</v>
      </c>
      <c r="P249" s="13">
        <v>42451</v>
      </c>
    </row>
    <row r="250" spans="1:16" ht="14.25">
      <c r="A250" s="10">
        <v>2016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0</v>
      </c>
      <c r="M250" s="8">
        <v>2016</v>
      </c>
      <c r="N250" s="9">
        <v>947266.88</v>
      </c>
      <c r="O250" s="13">
        <v>42451</v>
      </c>
      <c r="P250" s="13">
        <v>42451</v>
      </c>
    </row>
    <row r="251" spans="1:16" ht="14.25">
      <c r="A251" s="10">
        <v>2016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6</v>
      </c>
      <c r="M251" s="8">
        <v>2022</v>
      </c>
      <c r="N251" s="9">
        <v>663414.88</v>
      </c>
      <c r="O251" s="13">
        <v>42451</v>
      </c>
      <c r="P251" s="13">
        <v>42451</v>
      </c>
    </row>
    <row r="252" spans="1:16" ht="14.25">
      <c r="A252" s="10">
        <v>2016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1</v>
      </c>
      <c r="M252" s="8">
        <v>2017</v>
      </c>
      <c r="N252" s="9">
        <v>996998.88</v>
      </c>
      <c r="O252" s="13">
        <v>42451</v>
      </c>
      <c r="P252" s="13">
        <v>42451</v>
      </c>
    </row>
    <row r="253" spans="1:16" ht="14.25">
      <c r="A253" s="10">
        <v>2016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3</v>
      </c>
      <c r="M253" s="8">
        <v>2019</v>
      </c>
      <c r="N253" s="9">
        <v>857414.88</v>
      </c>
      <c r="O253" s="13">
        <v>42451</v>
      </c>
      <c r="P253" s="13">
        <v>42451</v>
      </c>
    </row>
    <row r="254" spans="1:16" ht="14.25">
      <c r="A254" s="10">
        <v>2016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4</v>
      </c>
      <c r="M254" s="8">
        <v>2020</v>
      </c>
      <c r="N254" s="9">
        <v>663414.88</v>
      </c>
      <c r="O254" s="13">
        <v>42451</v>
      </c>
      <c r="P254" s="13">
        <v>42451</v>
      </c>
    </row>
    <row r="255" spans="1:16" ht="14.25">
      <c r="A255" s="10">
        <v>2016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8</v>
      </c>
      <c r="M255" s="8">
        <v>2024</v>
      </c>
      <c r="N255" s="9">
        <v>553068.76</v>
      </c>
      <c r="O255" s="13">
        <v>42451</v>
      </c>
      <c r="P255" s="13">
        <v>42451</v>
      </c>
    </row>
    <row r="256" spans="1:16" ht="14.25">
      <c r="A256" s="10">
        <v>2016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8</v>
      </c>
      <c r="M256" s="8">
        <v>2024</v>
      </c>
      <c r="N256" s="9">
        <v>0</v>
      </c>
      <c r="O256" s="13">
        <v>42451</v>
      </c>
      <c r="P256" s="13">
        <v>42451</v>
      </c>
    </row>
    <row r="257" spans="1:16" ht="14.25">
      <c r="A257" s="10">
        <v>2016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1</v>
      </c>
      <c r="M257" s="8">
        <v>2017</v>
      </c>
      <c r="N257" s="9">
        <v>0</v>
      </c>
      <c r="O257" s="13">
        <v>42451</v>
      </c>
      <c r="P257" s="13">
        <v>42451</v>
      </c>
    </row>
    <row r="258" spans="1:16" ht="14.25">
      <c r="A258" s="10">
        <v>2016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4</v>
      </c>
      <c r="M258" s="8">
        <v>2020</v>
      </c>
      <c r="N258" s="9">
        <v>0</v>
      </c>
      <c r="O258" s="13">
        <v>42451</v>
      </c>
      <c r="P258" s="13">
        <v>42451</v>
      </c>
    </row>
    <row r="259" spans="1:16" ht="14.25">
      <c r="A259" s="10">
        <v>2016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6</v>
      </c>
      <c r="M259" s="8">
        <v>2022</v>
      </c>
      <c r="N259" s="9">
        <v>0</v>
      </c>
      <c r="O259" s="13">
        <v>42451</v>
      </c>
      <c r="P259" s="13">
        <v>42451</v>
      </c>
    </row>
    <row r="260" spans="1:16" ht="14.25">
      <c r="A260" s="10">
        <v>2016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5</v>
      </c>
      <c r="M260" s="8">
        <v>2021</v>
      </c>
      <c r="N260" s="9">
        <v>0</v>
      </c>
      <c r="O260" s="13">
        <v>42451</v>
      </c>
      <c r="P260" s="13">
        <v>42451</v>
      </c>
    </row>
    <row r="261" spans="1:16" ht="14.25">
      <c r="A261" s="10">
        <v>2016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42451</v>
      </c>
      <c r="P261" s="13">
        <v>42451</v>
      </c>
    </row>
    <row r="262" spans="1:16" ht="14.25">
      <c r="A262" s="10">
        <v>2016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7</v>
      </c>
      <c r="M262" s="8">
        <v>2023</v>
      </c>
      <c r="N262" s="9">
        <v>0</v>
      </c>
      <c r="O262" s="13">
        <v>42451</v>
      </c>
      <c r="P262" s="13">
        <v>42451</v>
      </c>
    </row>
    <row r="263" spans="1:16" ht="14.25">
      <c r="A263" s="10">
        <v>2016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0</v>
      </c>
      <c r="M263" s="8">
        <v>2016</v>
      </c>
      <c r="N263" s="9">
        <v>0</v>
      </c>
      <c r="O263" s="13">
        <v>42451</v>
      </c>
      <c r="P263" s="13">
        <v>42451</v>
      </c>
    </row>
    <row r="264" spans="1:16" ht="14.25">
      <c r="A264" s="10">
        <v>2016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3</v>
      </c>
      <c r="M264" s="8">
        <v>2019</v>
      </c>
      <c r="N264" s="9">
        <v>0</v>
      </c>
      <c r="O264" s="13">
        <v>42451</v>
      </c>
      <c r="P264" s="13">
        <v>42451</v>
      </c>
    </row>
    <row r="265" spans="1:16" ht="14.25">
      <c r="A265" s="10">
        <v>2016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1</v>
      </c>
      <c r="M265" s="8">
        <v>2017</v>
      </c>
      <c r="N265" s="9">
        <v>0</v>
      </c>
      <c r="O265" s="13">
        <v>42451</v>
      </c>
      <c r="P265" s="13">
        <v>42451</v>
      </c>
    </row>
    <row r="266" spans="1:16" ht="14.25">
      <c r="A266" s="10">
        <v>2016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0</v>
      </c>
      <c r="M266" s="8">
        <v>2016</v>
      </c>
      <c r="N266" s="9">
        <v>0</v>
      </c>
      <c r="O266" s="13">
        <v>42451</v>
      </c>
      <c r="P266" s="13">
        <v>42451</v>
      </c>
    </row>
    <row r="267" spans="1:16" ht="14.25">
      <c r="A267" s="10">
        <v>2016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3</v>
      </c>
      <c r="M267" s="8">
        <v>2019</v>
      </c>
      <c r="N267" s="9">
        <v>0</v>
      </c>
      <c r="O267" s="13">
        <v>42451</v>
      </c>
      <c r="P267" s="13">
        <v>42451</v>
      </c>
    </row>
    <row r="268" spans="1:16" ht="14.25">
      <c r="A268" s="10">
        <v>2016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2</v>
      </c>
      <c r="M268" s="8">
        <v>2018</v>
      </c>
      <c r="N268" s="9">
        <v>0</v>
      </c>
      <c r="O268" s="13">
        <v>42451</v>
      </c>
      <c r="P268" s="13">
        <v>42451</v>
      </c>
    </row>
    <row r="269" spans="1:16" ht="14.25">
      <c r="A269" s="10">
        <v>2016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5</v>
      </c>
      <c r="M269" s="8">
        <v>2021</v>
      </c>
      <c r="N269" s="9">
        <v>0</v>
      </c>
      <c r="O269" s="13">
        <v>42451</v>
      </c>
      <c r="P269" s="13">
        <v>42451</v>
      </c>
    </row>
    <row r="270" spans="1:16" ht="14.25">
      <c r="A270" s="10">
        <v>2016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4</v>
      </c>
      <c r="M270" s="8">
        <v>2020</v>
      </c>
      <c r="N270" s="9">
        <v>0</v>
      </c>
      <c r="O270" s="13">
        <v>42451</v>
      </c>
      <c r="P270" s="13">
        <v>42451</v>
      </c>
    </row>
    <row r="271" spans="1:16" ht="14.25">
      <c r="A271" s="10">
        <v>2016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8</v>
      </c>
      <c r="M271" s="8">
        <v>2024</v>
      </c>
      <c r="N271" s="9">
        <v>0</v>
      </c>
      <c r="O271" s="13">
        <v>42451</v>
      </c>
      <c r="P271" s="13">
        <v>42451</v>
      </c>
    </row>
    <row r="272" spans="1:16" ht="14.25">
      <c r="A272" s="10">
        <v>2016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770</v>
      </c>
      <c r="H272" s="12" t="s">
        <v>389</v>
      </c>
      <c r="I272" s="12"/>
      <c r="J272" s="12" t="s">
        <v>380</v>
      </c>
      <c r="K272" s="12" t="b">
        <v>1</v>
      </c>
      <c r="L272" s="12">
        <v>4</v>
      </c>
      <c r="M272" s="8">
        <v>2020</v>
      </c>
      <c r="N272" s="9">
        <v>0</v>
      </c>
      <c r="O272" s="13">
        <v>42451</v>
      </c>
      <c r="P272" s="13">
        <v>42451</v>
      </c>
    </row>
    <row r="273" spans="1:16" ht="14.25">
      <c r="A273" s="10">
        <v>2016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6</v>
      </c>
      <c r="M273" s="8">
        <v>2022</v>
      </c>
      <c r="N273" s="9">
        <v>0</v>
      </c>
      <c r="O273" s="13">
        <v>42451</v>
      </c>
      <c r="P273" s="13">
        <v>42451</v>
      </c>
    </row>
    <row r="274" spans="1:16" ht="14.25">
      <c r="A274" s="10">
        <v>2016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810</v>
      </c>
      <c r="H274" s="12">
        <v>13.2</v>
      </c>
      <c r="I274" s="12"/>
      <c r="J274" s="12" t="s">
        <v>116</v>
      </c>
      <c r="K274" s="12" t="b">
        <v>1</v>
      </c>
      <c r="L274" s="12">
        <v>7</v>
      </c>
      <c r="M274" s="8">
        <v>2023</v>
      </c>
      <c r="N274" s="9">
        <v>0</v>
      </c>
      <c r="O274" s="13">
        <v>42451</v>
      </c>
      <c r="P274" s="13">
        <v>42451</v>
      </c>
    </row>
    <row r="275" spans="1:16" ht="14.25">
      <c r="A275" s="10">
        <v>2016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3</v>
      </c>
      <c r="M275" s="8">
        <v>2019</v>
      </c>
      <c r="N275" s="9">
        <v>0</v>
      </c>
      <c r="O275" s="13">
        <v>42451</v>
      </c>
      <c r="P275" s="13">
        <v>42451</v>
      </c>
    </row>
    <row r="276" spans="1:16" ht="14.25">
      <c r="A276" s="10">
        <v>2016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4</v>
      </c>
      <c r="M276" s="8">
        <v>2020</v>
      </c>
      <c r="N276" s="9">
        <v>0</v>
      </c>
      <c r="O276" s="13">
        <v>42451</v>
      </c>
      <c r="P276" s="13">
        <v>42451</v>
      </c>
    </row>
    <row r="277" spans="1:16" ht="14.25">
      <c r="A277" s="10">
        <v>2016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6</v>
      </c>
      <c r="M277" s="8">
        <v>2022</v>
      </c>
      <c r="N277" s="9">
        <v>0</v>
      </c>
      <c r="O277" s="13">
        <v>42451</v>
      </c>
      <c r="P277" s="13">
        <v>42451</v>
      </c>
    </row>
    <row r="278" spans="1:16" ht="14.25">
      <c r="A278" s="10">
        <v>2016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8</v>
      </c>
      <c r="M278" s="8">
        <v>2024</v>
      </c>
      <c r="N278" s="9">
        <v>0</v>
      </c>
      <c r="O278" s="13">
        <v>42451</v>
      </c>
      <c r="P278" s="13">
        <v>42451</v>
      </c>
    </row>
    <row r="279" spans="1:16" ht="14.25">
      <c r="A279" s="10">
        <v>2016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1</v>
      </c>
      <c r="M279" s="8">
        <v>2017</v>
      </c>
      <c r="N279" s="9">
        <v>0</v>
      </c>
      <c r="O279" s="13">
        <v>42451</v>
      </c>
      <c r="P279" s="13">
        <v>42451</v>
      </c>
    </row>
    <row r="280" spans="1:16" ht="14.25">
      <c r="A280" s="10">
        <v>2016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5</v>
      </c>
      <c r="M280" s="8">
        <v>2021</v>
      </c>
      <c r="N280" s="9">
        <v>0</v>
      </c>
      <c r="O280" s="13">
        <v>42451</v>
      </c>
      <c r="P280" s="13">
        <v>42451</v>
      </c>
    </row>
    <row r="281" spans="1:16" ht="14.25">
      <c r="A281" s="10">
        <v>2016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2</v>
      </c>
      <c r="M281" s="8">
        <v>2018</v>
      </c>
      <c r="N281" s="9">
        <v>0</v>
      </c>
      <c r="O281" s="13">
        <v>42451</v>
      </c>
      <c r="P281" s="13">
        <v>42451</v>
      </c>
    </row>
    <row r="282" spans="1:16" ht="14.25">
      <c r="A282" s="10">
        <v>2016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7</v>
      </c>
      <c r="M282" s="8">
        <v>2023</v>
      </c>
      <c r="N282" s="9">
        <v>0</v>
      </c>
      <c r="O282" s="13">
        <v>42451</v>
      </c>
      <c r="P282" s="13">
        <v>42451</v>
      </c>
    </row>
    <row r="283" spans="1:16" ht="14.25">
      <c r="A283" s="10">
        <v>2016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400</v>
      </c>
      <c r="H283" s="12">
        <v>7</v>
      </c>
      <c r="I283" s="12"/>
      <c r="J283" s="12" t="s">
        <v>77</v>
      </c>
      <c r="K283" s="12" t="b">
        <v>1</v>
      </c>
      <c r="L283" s="12">
        <v>0</v>
      </c>
      <c r="M283" s="8">
        <v>2016</v>
      </c>
      <c r="N283" s="9">
        <v>0</v>
      </c>
      <c r="O283" s="13">
        <v>42451</v>
      </c>
      <c r="P283" s="13">
        <v>42451</v>
      </c>
    </row>
    <row r="284" spans="1:16" ht="14.25">
      <c r="A284" s="10">
        <v>2016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770</v>
      </c>
      <c r="H284" s="12" t="s">
        <v>389</v>
      </c>
      <c r="I284" s="12"/>
      <c r="J284" s="12" t="s">
        <v>380</v>
      </c>
      <c r="K284" s="12" t="b">
        <v>1</v>
      </c>
      <c r="L284" s="12">
        <v>6</v>
      </c>
      <c r="M284" s="8">
        <v>2022</v>
      </c>
      <c r="N284" s="9">
        <v>0</v>
      </c>
      <c r="O284" s="13">
        <v>42451</v>
      </c>
      <c r="P284" s="13">
        <v>42451</v>
      </c>
    </row>
    <row r="285" spans="1:16" ht="14.25">
      <c r="A285" s="10">
        <v>2016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770</v>
      </c>
      <c r="H285" s="12" t="s">
        <v>389</v>
      </c>
      <c r="I285" s="12"/>
      <c r="J285" s="12" t="s">
        <v>380</v>
      </c>
      <c r="K285" s="12" t="b">
        <v>1</v>
      </c>
      <c r="L285" s="12">
        <v>7</v>
      </c>
      <c r="M285" s="8">
        <v>2023</v>
      </c>
      <c r="N285" s="9">
        <v>0</v>
      </c>
      <c r="O285" s="13">
        <v>42451</v>
      </c>
      <c r="P285" s="13">
        <v>42451</v>
      </c>
    </row>
    <row r="286" spans="1:16" ht="14.25">
      <c r="A286" s="10">
        <v>2016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770</v>
      </c>
      <c r="H286" s="12" t="s">
        <v>389</v>
      </c>
      <c r="I286" s="12"/>
      <c r="J286" s="12" t="s">
        <v>380</v>
      </c>
      <c r="K286" s="12" t="b">
        <v>1</v>
      </c>
      <c r="L286" s="12">
        <v>8</v>
      </c>
      <c r="M286" s="8">
        <v>2024</v>
      </c>
      <c r="N286" s="9">
        <v>0</v>
      </c>
      <c r="O286" s="13">
        <v>42451</v>
      </c>
      <c r="P286" s="13">
        <v>42451</v>
      </c>
    </row>
    <row r="287" spans="1:16" ht="14.25">
      <c r="A287" s="10">
        <v>2016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770</v>
      </c>
      <c r="H287" s="12" t="s">
        <v>389</v>
      </c>
      <c r="I287" s="12"/>
      <c r="J287" s="12" t="s">
        <v>380</v>
      </c>
      <c r="K287" s="12" t="b">
        <v>1</v>
      </c>
      <c r="L287" s="12">
        <v>2</v>
      </c>
      <c r="M287" s="8">
        <v>2018</v>
      </c>
      <c r="N287" s="9">
        <v>0</v>
      </c>
      <c r="O287" s="13">
        <v>42451</v>
      </c>
      <c r="P287" s="13">
        <v>42451</v>
      </c>
    </row>
    <row r="288" spans="1:16" ht="14.25">
      <c r="A288" s="10">
        <v>2016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1</v>
      </c>
      <c r="M288" s="8">
        <v>2017</v>
      </c>
      <c r="N288" s="9">
        <v>0</v>
      </c>
      <c r="O288" s="13">
        <v>42451</v>
      </c>
      <c r="P288" s="13">
        <v>42451</v>
      </c>
    </row>
    <row r="289" spans="1:16" ht="14.25">
      <c r="A289" s="10">
        <v>2016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770</v>
      </c>
      <c r="H289" s="12" t="s">
        <v>389</v>
      </c>
      <c r="I289" s="12"/>
      <c r="J289" s="12" t="s">
        <v>380</v>
      </c>
      <c r="K289" s="12" t="b">
        <v>1</v>
      </c>
      <c r="L289" s="12">
        <v>3</v>
      </c>
      <c r="M289" s="8">
        <v>2019</v>
      </c>
      <c r="N289" s="9">
        <v>0</v>
      </c>
      <c r="O289" s="13">
        <v>42451</v>
      </c>
      <c r="P289" s="13">
        <v>42451</v>
      </c>
    </row>
    <row r="290" spans="1:16" ht="14.25">
      <c r="A290" s="10">
        <v>2016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770</v>
      </c>
      <c r="H290" s="12" t="s">
        <v>389</v>
      </c>
      <c r="I290" s="12"/>
      <c r="J290" s="12" t="s">
        <v>380</v>
      </c>
      <c r="K290" s="12" t="b">
        <v>1</v>
      </c>
      <c r="L290" s="12">
        <v>5</v>
      </c>
      <c r="M290" s="8">
        <v>2021</v>
      </c>
      <c r="N290" s="9">
        <v>0</v>
      </c>
      <c r="O290" s="13">
        <v>42451</v>
      </c>
      <c r="P290" s="13">
        <v>42451</v>
      </c>
    </row>
    <row r="291" spans="1:16" ht="14.25">
      <c r="A291" s="10">
        <v>2016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770</v>
      </c>
      <c r="H291" s="12" t="s">
        <v>389</v>
      </c>
      <c r="I291" s="12"/>
      <c r="J291" s="12" t="s">
        <v>380</v>
      </c>
      <c r="K291" s="12" t="b">
        <v>1</v>
      </c>
      <c r="L291" s="12">
        <v>0</v>
      </c>
      <c r="M291" s="8">
        <v>2016</v>
      </c>
      <c r="N291" s="9">
        <v>0</v>
      </c>
      <c r="O291" s="13">
        <v>42451</v>
      </c>
      <c r="P291" s="13">
        <v>42451</v>
      </c>
    </row>
    <row r="292" spans="1:16" ht="14.25">
      <c r="A292" s="10">
        <v>2016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347</v>
      </c>
      <c r="J292" s="12" t="s">
        <v>22</v>
      </c>
      <c r="K292" s="12" t="b">
        <v>0</v>
      </c>
      <c r="L292" s="12">
        <v>0</v>
      </c>
      <c r="M292" s="8">
        <v>2016</v>
      </c>
      <c r="N292" s="9">
        <v>0</v>
      </c>
      <c r="O292" s="13">
        <v>42451</v>
      </c>
      <c r="P292" s="13">
        <v>42451</v>
      </c>
    </row>
    <row r="293" spans="1:16" ht="14.25">
      <c r="A293" s="10">
        <v>2016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347</v>
      </c>
      <c r="J293" s="12" t="s">
        <v>22</v>
      </c>
      <c r="K293" s="12" t="b">
        <v>0</v>
      </c>
      <c r="L293" s="12">
        <v>4</v>
      </c>
      <c r="M293" s="8">
        <v>2020</v>
      </c>
      <c r="N293" s="9">
        <v>0</v>
      </c>
      <c r="O293" s="13">
        <v>42451</v>
      </c>
      <c r="P293" s="13">
        <v>42451</v>
      </c>
    </row>
    <row r="294" spans="1:16" ht="14.25">
      <c r="A294" s="10">
        <v>2016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347</v>
      </c>
      <c r="J294" s="12" t="s">
        <v>22</v>
      </c>
      <c r="K294" s="12" t="b">
        <v>0</v>
      </c>
      <c r="L294" s="12">
        <v>7</v>
      </c>
      <c r="M294" s="8">
        <v>2023</v>
      </c>
      <c r="N294" s="9">
        <v>0</v>
      </c>
      <c r="O294" s="13">
        <v>42451</v>
      </c>
      <c r="P294" s="13">
        <v>42451</v>
      </c>
    </row>
    <row r="295" spans="1:16" ht="14.25">
      <c r="A295" s="10">
        <v>2016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347</v>
      </c>
      <c r="J295" s="12" t="s">
        <v>22</v>
      </c>
      <c r="K295" s="12" t="b">
        <v>0</v>
      </c>
      <c r="L295" s="12">
        <v>3</v>
      </c>
      <c r="M295" s="8">
        <v>2019</v>
      </c>
      <c r="N295" s="9">
        <v>0</v>
      </c>
      <c r="O295" s="13">
        <v>42451</v>
      </c>
      <c r="P295" s="13">
        <v>42451</v>
      </c>
    </row>
    <row r="296" spans="1:16" ht="14.25">
      <c r="A296" s="10">
        <v>2016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347</v>
      </c>
      <c r="J296" s="12" t="s">
        <v>22</v>
      </c>
      <c r="K296" s="12" t="b">
        <v>0</v>
      </c>
      <c r="L296" s="12">
        <v>8</v>
      </c>
      <c r="M296" s="8">
        <v>2024</v>
      </c>
      <c r="N296" s="9">
        <v>0</v>
      </c>
      <c r="O296" s="13">
        <v>42451</v>
      </c>
      <c r="P296" s="13">
        <v>42451</v>
      </c>
    </row>
    <row r="297" spans="1:16" ht="14.25">
      <c r="A297" s="10">
        <v>2016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347</v>
      </c>
      <c r="J297" s="12" t="s">
        <v>22</v>
      </c>
      <c r="K297" s="12" t="b">
        <v>0</v>
      </c>
      <c r="L297" s="12">
        <v>6</v>
      </c>
      <c r="M297" s="8">
        <v>2022</v>
      </c>
      <c r="N297" s="9">
        <v>0</v>
      </c>
      <c r="O297" s="13">
        <v>42451</v>
      </c>
      <c r="P297" s="13">
        <v>42451</v>
      </c>
    </row>
    <row r="298" spans="1:16" ht="14.25">
      <c r="A298" s="10">
        <v>2016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347</v>
      </c>
      <c r="J298" s="12" t="s">
        <v>22</v>
      </c>
      <c r="K298" s="12" t="b">
        <v>0</v>
      </c>
      <c r="L298" s="12">
        <v>5</v>
      </c>
      <c r="M298" s="8">
        <v>2021</v>
      </c>
      <c r="N298" s="9">
        <v>0</v>
      </c>
      <c r="O298" s="13">
        <v>42451</v>
      </c>
      <c r="P298" s="13">
        <v>42451</v>
      </c>
    </row>
    <row r="299" spans="1:16" ht="14.25">
      <c r="A299" s="10">
        <v>2016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347</v>
      </c>
      <c r="J299" s="12" t="s">
        <v>22</v>
      </c>
      <c r="K299" s="12" t="b">
        <v>0</v>
      </c>
      <c r="L299" s="12">
        <v>2</v>
      </c>
      <c r="M299" s="8">
        <v>2018</v>
      </c>
      <c r="N299" s="9">
        <v>0</v>
      </c>
      <c r="O299" s="13">
        <v>42451</v>
      </c>
      <c r="P299" s="13">
        <v>42451</v>
      </c>
    </row>
    <row r="300" spans="1:16" ht="14.25">
      <c r="A300" s="10">
        <v>2016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347</v>
      </c>
      <c r="J300" s="12" t="s">
        <v>22</v>
      </c>
      <c r="K300" s="12" t="b">
        <v>0</v>
      </c>
      <c r="L300" s="12">
        <v>1</v>
      </c>
      <c r="M300" s="8">
        <v>2017</v>
      </c>
      <c r="N300" s="9">
        <v>0</v>
      </c>
      <c r="O300" s="13">
        <v>42451</v>
      </c>
      <c r="P300" s="13">
        <v>42451</v>
      </c>
    </row>
    <row r="301" spans="1:16" ht="14.25">
      <c r="A301" s="10">
        <v>2016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339</v>
      </c>
      <c r="K301" s="12" t="b">
        <v>1</v>
      </c>
      <c r="L301" s="12">
        <v>8</v>
      </c>
      <c r="M301" s="8">
        <v>2024</v>
      </c>
      <c r="N301" s="9">
        <v>0</v>
      </c>
      <c r="O301" s="13">
        <v>42451</v>
      </c>
      <c r="P301" s="13">
        <v>42451</v>
      </c>
    </row>
    <row r="302" spans="1:16" ht="14.25">
      <c r="A302" s="10">
        <v>2016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339</v>
      </c>
      <c r="K302" s="12" t="b">
        <v>1</v>
      </c>
      <c r="L302" s="12">
        <v>7</v>
      </c>
      <c r="M302" s="8">
        <v>2023</v>
      </c>
      <c r="N302" s="9">
        <v>0</v>
      </c>
      <c r="O302" s="13">
        <v>42451</v>
      </c>
      <c r="P302" s="13">
        <v>42451</v>
      </c>
    </row>
    <row r="303" spans="1:16" ht="14.25">
      <c r="A303" s="10">
        <v>2016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339</v>
      </c>
      <c r="K303" s="12" t="b">
        <v>1</v>
      </c>
      <c r="L303" s="12">
        <v>1</v>
      </c>
      <c r="M303" s="8">
        <v>2017</v>
      </c>
      <c r="N303" s="9">
        <v>0</v>
      </c>
      <c r="O303" s="13">
        <v>42451</v>
      </c>
      <c r="P303" s="13">
        <v>42451</v>
      </c>
    </row>
    <row r="304" spans="1:16" ht="14.25">
      <c r="A304" s="10">
        <v>2016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339</v>
      </c>
      <c r="K304" s="12" t="b">
        <v>1</v>
      </c>
      <c r="L304" s="12">
        <v>5</v>
      </c>
      <c r="M304" s="8">
        <v>2021</v>
      </c>
      <c r="N304" s="9">
        <v>0</v>
      </c>
      <c r="O304" s="13">
        <v>42451</v>
      </c>
      <c r="P304" s="13">
        <v>42451</v>
      </c>
    </row>
    <row r="305" spans="1:16" ht="14.25">
      <c r="A305" s="10">
        <v>2016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339</v>
      </c>
      <c r="K305" s="12" t="b">
        <v>1</v>
      </c>
      <c r="L305" s="12">
        <v>6</v>
      </c>
      <c r="M305" s="8">
        <v>2022</v>
      </c>
      <c r="N305" s="9">
        <v>0</v>
      </c>
      <c r="O305" s="13">
        <v>42451</v>
      </c>
      <c r="P305" s="13">
        <v>42451</v>
      </c>
    </row>
    <row r="306" spans="1:16" ht="14.25">
      <c r="A306" s="10">
        <v>2016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339</v>
      </c>
      <c r="K306" s="12" t="b">
        <v>1</v>
      </c>
      <c r="L306" s="12">
        <v>2</v>
      </c>
      <c r="M306" s="8">
        <v>2018</v>
      </c>
      <c r="N306" s="9">
        <v>0</v>
      </c>
      <c r="O306" s="13">
        <v>42451</v>
      </c>
      <c r="P306" s="13">
        <v>42451</v>
      </c>
    </row>
    <row r="307" spans="1:16" ht="14.25">
      <c r="A307" s="10">
        <v>2016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339</v>
      </c>
      <c r="K307" s="12" t="b">
        <v>1</v>
      </c>
      <c r="L307" s="12">
        <v>3</v>
      </c>
      <c r="M307" s="8">
        <v>2019</v>
      </c>
      <c r="N307" s="9">
        <v>0</v>
      </c>
      <c r="O307" s="13">
        <v>42451</v>
      </c>
      <c r="P307" s="13">
        <v>42451</v>
      </c>
    </row>
    <row r="308" spans="1:16" ht="14.25">
      <c r="A308" s="10">
        <v>2016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339</v>
      </c>
      <c r="K308" s="12" t="b">
        <v>1</v>
      </c>
      <c r="L308" s="12">
        <v>0</v>
      </c>
      <c r="M308" s="8">
        <v>2016</v>
      </c>
      <c r="N308" s="9">
        <v>0</v>
      </c>
      <c r="O308" s="13">
        <v>42451</v>
      </c>
      <c r="P308" s="13">
        <v>42451</v>
      </c>
    </row>
    <row r="309" spans="1:16" ht="14.25">
      <c r="A309" s="10">
        <v>2016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890</v>
      </c>
      <c r="H309" s="12">
        <v>14.2</v>
      </c>
      <c r="I309" s="12"/>
      <c r="J309" s="12" t="s">
        <v>124</v>
      </c>
      <c r="K309" s="12" t="b">
        <v>1</v>
      </c>
      <c r="L309" s="12">
        <v>7</v>
      </c>
      <c r="M309" s="8">
        <v>2023</v>
      </c>
      <c r="N309" s="9">
        <v>0</v>
      </c>
      <c r="O309" s="13">
        <v>42451</v>
      </c>
      <c r="P309" s="13">
        <v>42451</v>
      </c>
    </row>
    <row r="310" spans="1:16" ht="14.25">
      <c r="A310" s="10">
        <v>2016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160</v>
      </c>
      <c r="H310" s="12" t="s">
        <v>58</v>
      </c>
      <c r="I310" s="12"/>
      <c r="J310" s="12" t="s">
        <v>339</v>
      </c>
      <c r="K310" s="12" t="b">
        <v>1</v>
      </c>
      <c r="L310" s="12">
        <v>4</v>
      </c>
      <c r="M310" s="8">
        <v>2020</v>
      </c>
      <c r="N310" s="9">
        <v>0</v>
      </c>
      <c r="O310" s="13">
        <v>42451</v>
      </c>
      <c r="P310" s="13">
        <v>42451</v>
      </c>
    </row>
    <row r="311" spans="1:16" ht="14.25">
      <c r="A311" s="10">
        <v>2016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7</v>
      </c>
      <c r="M311" s="8">
        <v>2023</v>
      </c>
      <c r="N311" s="9">
        <v>0</v>
      </c>
      <c r="O311" s="13">
        <v>42451</v>
      </c>
      <c r="P311" s="13">
        <v>42451</v>
      </c>
    </row>
    <row r="312" spans="1:16" ht="14.25">
      <c r="A312" s="10">
        <v>2016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3</v>
      </c>
      <c r="M312" s="8">
        <v>2019</v>
      </c>
      <c r="N312" s="9">
        <v>0</v>
      </c>
      <c r="O312" s="13">
        <v>42451</v>
      </c>
      <c r="P312" s="13">
        <v>42451</v>
      </c>
    </row>
    <row r="313" spans="1:16" ht="14.25">
      <c r="A313" s="10">
        <v>2016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8</v>
      </c>
      <c r="M313" s="8">
        <v>2024</v>
      </c>
      <c r="N313" s="9">
        <v>0</v>
      </c>
      <c r="O313" s="13">
        <v>42451</v>
      </c>
      <c r="P313" s="13">
        <v>42451</v>
      </c>
    </row>
    <row r="314" spans="1:16" ht="14.25">
      <c r="A314" s="10">
        <v>2016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2</v>
      </c>
      <c r="M314" s="8">
        <v>2018</v>
      </c>
      <c r="N314" s="9">
        <v>9894000</v>
      </c>
      <c r="O314" s="13">
        <v>42451</v>
      </c>
      <c r="P314" s="13">
        <v>42451</v>
      </c>
    </row>
    <row r="315" spans="1:16" ht="14.25">
      <c r="A315" s="10">
        <v>2016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2021</v>
      </c>
      <c r="N315" s="9">
        <v>0</v>
      </c>
      <c r="O315" s="13">
        <v>42451</v>
      </c>
      <c r="P315" s="13">
        <v>42451</v>
      </c>
    </row>
    <row r="316" spans="1:16" ht="14.25">
      <c r="A316" s="10">
        <v>2016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1</v>
      </c>
      <c r="M316" s="8">
        <v>2017</v>
      </c>
      <c r="N316" s="9">
        <v>9700000</v>
      </c>
      <c r="O316" s="13">
        <v>42451</v>
      </c>
      <c r="P316" s="13">
        <v>42451</v>
      </c>
    </row>
    <row r="317" spans="1:16" ht="14.25">
      <c r="A317" s="10">
        <v>2016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0</v>
      </c>
      <c r="M317" s="8">
        <v>2016</v>
      </c>
      <c r="N317" s="9">
        <v>9525018</v>
      </c>
      <c r="O317" s="13">
        <v>42451</v>
      </c>
      <c r="P317" s="13">
        <v>42451</v>
      </c>
    </row>
    <row r="318" spans="1:16" ht="14.25">
      <c r="A318" s="10">
        <v>2016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4</v>
      </c>
      <c r="M318" s="8">
        <v>2020</v>
      </c>
      <c r="N318" s="9">
        <v>0</v>
      </c>
      <c r="O318" s="13">
        <v>42451</v>
      </c>
      <c r="P318" s="13">
        <v>42451</v>
      </c>
    </row>
    <row r="319" spans="1:16" ht="14.25">
      <c r="A319" s="10">
        <v>2016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580</v>
      </c>
      <c r="H319" s="12">
        <v>11.1</v>
      </c>
      <c r="I319" s="12"/>
      <c r="J319" s="12" t="s">
        <v>84</v>
      </c>
      <c r="K319" s="12" t="b">
        <v>0</v>
      </c>
      <c r="L319" s="12">
        <v>6</v>
      </c>
      <c r="M319" s="8">
        <v>2022</v>
      </c>
      <c r="N319" s="9">
        <v>0</v>
      </c>
      <c r="O319" s="13">
        <v>42451</v>
      </c>
      <c r="P319" s="13">
        <v>42451</v>
      </c>
    </row>
    <row r="320" spans="1:16" ht="14.25">
      <c r="A320" s="10">
        <v>2016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364</v>
      </c>
      <c r="J320" s="12" t="s">
        <v>365</v>
      </c>
      <c r="K320" s="12" t="b">
        <v>0</v>
      </c>
      <c r="L320" s="12">
        <v>5</v>
      </c>
      <c r="M320" s="8">
        <v>2021</v>
      </c>
      <c r="N320" s="9">
        <v>0.0288</v>
      </c>
      <c r="O320" s="13">
        <v>42451</v>
      </c>
      <c r="P320" s="13">
        <v>42451</v>
      </c>
    </row>
    <row r="321" spans="1:16" ht="14.25">
      <c r="A321" s="10">
        <v>2016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364</v>
      </c>
      <c r="J321" s="12" t="s">
        <v>365</v>
      </c>
      <c r="K321" s="12" t="b">
        <v>0</v>
      </c>
      <c r="L321" s="12">
        <v>4</v>
      </c>
      <c r="M321" s="8">
        <v>2020</v>
      </c>
      <c r="N321" s="9">
        <v>0.0303</v>
      </c>
      <c r="O321" s="13">
        <v>42451</v>
      </c>
      <c r="P321" s="13">
        <v>42451</v>
      </c>
    </row>
    <row r="322" spans="1:16" ht="14.25">
      <c r="A322" s="10">
        <v>2016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364</v>
      </c>
      <c r="J322" s="12" t="s">
        <v>365</v>
      </c>
      <c r="K322" s="12" t="b">
        <v>0</v>
      </c>
      <c r="L322" s="12">
        <v>3</v>
      </c>
      <c r="M322" s="8">
        <v>2019</v>
      </c>
      <c r="N322" s="9">
        <v>0.0397</v>
      </c>
      <c r="O322" s="13">
        <v>42451</v>
      </c>
      <c r="P322" s="13">
        <v>42451</v>
      </c>
    </row>
    <row r="323" spans="1:16" ht="14.25">
      <c r="A323" s="10">
        <v>2016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364</v>
      </c>
      <c r="J323" s="12" t="s">
        <v>365</v>
      </c>
      <c r="K323" s="12" t="b">
        <v>0</v>
      </c>
      <c r="L323" s="12">
        <v>1</v>
      </c>
      <c r="M323" s="8">
        <v>2017</v>
      </c>
      <c r="N323" s="9">
        <v>0.0488</v>
      </c>
      <c r="O323" s="13">
        <v>42451</v>
      </c>
      <c r="P323" s="13">
        <v>42451</v>
      </c>
    </row>
    <row r="324" spans="1:16" ht="14.25">
      <c r="A324" s="10">
        <v>2016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364</v>
      </c>
      <c r="J324" s="12" t="s">
        <v>365</v>
      </c>
      <c r="K324" s="12" t="b">
        <v>0</v>
      </c>
      <c r="L324" s="12">
        <v>0</v>
      </c>
      <c r="M324" s="8">
        <v>2016</v>
      </c>
      <c r="N324" s="9">
        <v>0.0438</v>
      </c>
      <c r="O324" s="13">
        <v>42451</v>
      </c>
      <c r="P324" s="13">
        <v>42451</v>
      </c>
    </row>
    <row r="325" spans="1:16" ht="14.25">
      <c r="A325" s="10">
        <v>2016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890</v>
      </c>
      <c r="H325" s="12">
        <v>14.2</v>
      </c>
      <c r="I325" s="12"/>
      <c r="J325" s="12" t="s">
        <v>124</v>
      </c>
      <c r="K325" s="12" t="b">
        <v>1</v>
      </c>
      <c r="L325" s="12">
        <v>3</v>
      </c>
      <c r="M325" s="8">
        <v>2019</v>
      </c>
      <c r="N325" s="9">
        <v>0</v>
      </c>
      <c r="O325" s="13">
        <v>42451</v>
      </c>
      <c r="P325" s="13">
        <v>42451</v>
      </c>
    </row>
    <row r="326" spans="1:16" ht="14.25">
      <c r="A326" s="10">
        <v>2016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300</v>
      </c>
      <c r="H326" s="12">
        <v>5</v>
      </c>
      <c r="I326" s="12" t="s">
        <v>348</v>
      </c>
      <c r="J326" s="12" t="s">
        <v>72</v>
      </c>
      <c r="K326" s="12" t="b">
        <v>0</v>
      </c>
      <c r="L326" s="12">
        <v>2</v>
      </c>
      <c r="M326" s="8">
        <v>2018</v>
      </c>
      <c r="N326" s="9">
        <v>947379.45</v>
      </c>
      <c r="O326" s="13">
        <v>42451</v>
      </c>
      <c r="P326" s="13">
        <v>42451</v>
      </c>
    </row>
    <row r="327" spans="1:16" ht="14.25">
      <c r="A327" s="10">
        <v>2016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364</v>
      </c>
      <c r="J327" s="12" t="s">
        <v>365</v>
      </c>
      <c r="K327" s="12" t="b">
        <v>0</v>
      </c>
      <c r="L327" s="12">
        <v>6</v>
      </c>
      <c r="M327" s="8">
        <v>2022</v>
      </c>
      <c r="N327" s="9">
        <v>0.0271</v>
      </c>
      <c r="O327" s="13">
        <v>42451</v>
      </c>
      <c r="P327" s="13">
        <v>42451</v>
      </c>
    </row>
    <row r="328" spans="1:16" ht="14.25">
      <c r="A328" s="10">
        <v>2016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500</v>
      </c>
      <c r="H328" s="12">
        <v>9.4</v>
      </c>
      <c r="I328" s="12" t="s">
        <v>364</v>
      </c>
      <c r="J328" s="12" t="s">
        <v>365</v>
      </c>
      <c r="K328" s="12" t="b">
        <v>0</v>
      </c>
      <c r="L328" s="12">
        <v>8</v>
      </c>
      <c r="M328" s="8">
        <v>2024</v>
      </c>
      <c r="N328" s="9">
        <v>0.0201</v>
      </c>
      <c r="O328" s="13">
        <v>42451</v>
      </c>
      <c r="P328" s="13">
        <v>42451</v>
      </c>
    </row>
    <row r="329" spans="1:16" ht="14.25">
      <c r="A329" s="10">
        <v>2016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500</v>
      </c>
      <c r="H329" s="12">
        <v>9.4</v>
      </c>
      <c r="I329" s="12" t="s">
        <v>364</v>
      </c>
      <c r="J329" s="12" t="s">
        <v>365</v>
      </c>
      <c r="K329" s="12" t="b">
        <v>0</v>
      </c>
      <c r="L329" s="12">
        <v>2</v>
      </c>
      <c r="M329" s="8">
        <v>2018</v>
      </c>
      <c r="N329" s="9">
        <v>0.0455</v>
      </c>
      <c r="O329" s="13">
        <v>42451</v>
      </c>
      <c r="P329" s="13">
        <v>42451</v>
      </c>
    </row>
    <row r="330" spans="1:16" ht="14.25">
      <c r="A330" s="10">
        <v>2016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500</v>
      </c>
      <c r="H330" s="12">
        <v>9.4</v>
      </c>
      <c r="I330" s="12" t="s">
        <v>364</v>
      </c>
      <c r="J330" s="12" t="s">
        <v>365</v>
      </c>
      <c r="K330" s="12" t="b">
        <v>0</v>
      </c>
      <c r="L330" s="12">
        <v>7</v>
      </c>
      <c r="M330" s="8">
        <v>2023</v>
      </c>
      <c r="N330" s="9">
        <v>0.0227</v>
      </c>
      <c r="O330" s="13">
        <v>42451</v>
      </c>
      <c r="P330" s="13">
        <v>42451</v>
      </c>
    </row>
    <row r="331" spans="1:16" ht="14.25">
      <c r="A331" s="10">
        <v>2016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366</v>
      </c>
      <c r="J331" s="12" t="s">
        <v>367</v>
      </c>
      <c r="K331" s="12" t="b">
        <v>0</v>
      </c>
      <c r="L331" s="12">
        <v>2</v>
      </c>
      <c r="M331" s="8">
        <v>2018</v>
      </c>
      <c r="N331" s="9">
        <v>0.0688</v>
      </c>
      <c r="O331" s="13">
        <v>42451</v>
      </c>
      <c r="P331" s="13">
        <v>42451</v>
      </c>
    </row>
    <row r="332" spans="1:16" ht="14.25">
      <c r="A332" s="10">
        <v>2016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366</v>
      </c>
      <c r="J332" s="12" t="s">
        <v>367</v>
      </c>
      <c r="K332" s="12" t="b">
        <v>0</v>
      </c>
      <c r="L332" s="12">
        <v>4</v>
      </c>
      <c r="M332" s="8">
        <v>2020</v>
      </c>
      <c r="N332" s="9">
        <v>0.0687</v>
      </c>
      <c r="O332" s="13">
        <v>42451</v>
      </c>
      <c r="P332" s="13">
        <v>42451</v>
      </c>
    </row>
    <row r="333" spans="1:16" ht="14.25">
      <c r="A333" s="10">
        <v>2016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366</v>
      </c>
      <c r="J333" s="12" t="s">
        <v>367</v>
      </c>
      <c r="K333" s="12" t="b">
        <v>0</v>
      </c>
      <c r="L333" s="12">
        <v>7</v>
      </c>
      <c r="M333" s="8">
        <v>2023</v>
      </c>
      <c r="N333" s="9">
        <v>0.0687</v>
      </c>
      <c r="O333" s="13">
        <v>42451</v>
      </c>
      <c r="P333" s="13">
        <v>42451</v>
      </c>
    </row>
    <row r="334" spans="1:16" ht="14.25">
      <c r="A334" s="10">
        <v>2016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366</v>
      </c>
      <c r="J334" s="12" t="s">
        <v>367</v>
      </c>
      <c r="K334" s="12" t="b">
        <v>0</v>
      </c>
      <c r="L334" s="12">
        <v>1</v>
      </c>
      <c r="M334" s="8">
        <v>2017</v>
      </c>
      <c r="N334" s="9">
        <v>0.0687</v>
      </c>
      <c r="O334" s="13">
        <v>42451</v>
      </c>
      <c r="P334" s="13">
        <v>42451</v>
      </c>
    </row>
    <row r="335" spans="1:16" ht="14.25">
      <c r="A335" s="10">
        <v>2016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366</v>
      </c>
      <c r="J335" s="12" t="s">
        <v>367</v>
      </c>
      <c r="K335" s="12" t="b">
        <v>0</v>
      </c>
      <c r="L335" s="12">
        <v>0</v>
      </c>
      <c r="M335" s="8">
        <v>2016</v>
      </c>
      <c r="N335" s="9">
        <v>0.1434</v>
      </c>
      <c r="O335" s="13">
        <v>42451</v>
      </c>
      <c r="P335" s="13">
        <v>42451</v>
      </c>
    </row>
    <row r="336" spans="1:16" ht="14.25">
      <c r="A336" s="10">
        <v>2016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366</v>
      </c>
      <c r="J336" s="12" t="s">
        <v>367</v>
      </c>
      <c r="K336" s="12" t="b">
        <v>0</v>
      </c>
      <c r="L336" s="12">
        <v>8</v>
      </c>
      <c r="M336" s="8">
        <v>2024</v>
      </c>
      <c r="N336" s="9">
        <v>0.0688</v>
      </c>
      <c r="O336" s="13">
        <v>42451</v>
      </c>
      <c r="P336" s="13">
        <v>42451</v>
      </c>
    </row>
    <row r="337" spans="1:16" ht="14.25">
      <c r="A337" s="10">
        <v>2016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508</v>
      </c>
      <c r="H337" s="12">
        <v>9.5</v>
      </c>
      <c r="I337" s="12" t="s">
        <v>366</v>
      </c>
      <c r="J337" s="12" t="s">
        <v>367</v>
      </c>
      <c r="K337" s="12" t="b">
        <v>0</v>
      </c>
      <c r="L337" s="12">
        <v>5</v>
      </c>
      <c r="M337" s="8">
        <v>2021</v>
      </c>
      <c r="N337" s="9">
        <v>0.0687</v>
      </c>
      <c r="O337" s="13">
        <v>42451</v>
      </c>
      <c r="P337" s="13">
        <v>42451</v>
      </c>
    </row>
    <row r="338" spans="1:16" ht="14.25">
      <c r="A338" s="10">
        <v>2016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508</v>
      </c>
      <c r="H338" s="12">
        <v>9.5</v>
      </c>
      <c r="I338" s="12" t="s">
        <v>366</v>
      </c>
      <c r="J338" s="12" t="s">
        <v>367</v>
      </c>
      <c r="K338" s="12" t="b">
        <v>0</v>
      </c>
      <c r="L338" s="12">
        <v>6</v>
      </c>
      <c r="M338" s="8">
        <v>2022</v>
      </c>
      <c r="N338" s="9">
        <v>0.0687</v>
      </c>
      <c r="O338" s="13">
        <v>42451</v>
      </c>
      <c r="P338" s="13">
        <v>42451</v>
      </c>
    </row>
    <row r="339" spans="1:16" ht="14.25">
      <c r="A339" s="10">
        <v>2016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508</v>
      </c>
      <c r="H339" s="12">
        <v>9.5</v>
      </c>
      <c r="I339" s="12" t="s">
        <v>366</v>
      </c>
      <c r="J339" s="12" t="s">
        <v>367</v>
      </c>
      <c r="K339" s="12" t="b">
        <v>0</v>
      </c>
      <c r="L339" s="12">
        <v>3</v>
      </c>
      <c r="M339" s="8">
        <v>2019</v>
      </c>
      <c r="N339" s="9">
        <v>0.0688</v>
      </c>
      <c r="O339" s="13">
        <v>42451</v>
      </c>
      <c r="P339" s="13">
        <v>42451</v>
      </c>
    </row>
    <row r="340" spans="1:16" ht="14.25">
      <c r="A340" s="10">
        <v>2016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8</v>
      </c>
      <c r="M340" s="8">
        <v>2024</v>
      </c>
      <c r="N340" s="9">
        <v>0</v>
      </c>
      <c r="O340" s="13">
        <v>42451</v>
      </c>
      <c r="P340" s="13">
        <v>42451</v>
      </c>
    </row>
    <row r="341" spans="1:16" ht="14.25">
      <c r="A341" s="10">
        <v>2016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2</v>
      </c>
      <c r="M341" s="8">
        <v>2018</v>
      </c>
      <c r="N341" s="9">
        <v>5321000</v>
      </c>
      <c r="O341" s="13">
        <v>42451</v>
      </c>
      <c r="P341" s="13">
        <v>42451</v>
      </c>
    </row>
    <row r="342" spans="1:16" ht="14.25">
      <c r="A342" s="10">
        <v>2016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5</v>
      </c>
      <c r="M342" s="8">
        <v>2021</v>
      </c>
      <c r="N342" s="9">
        <v>0</v>
      </c>
      <c r="O342" s="13">
        <v>42451</v>
      </c>
      <c r="P342" s="13">
        <v>42451</v>
      </c>
    </row>
    <row r="343" spans="1:16" ht="14.25">
      <c r="A343" s="10">
        <v>2016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7</v>
      </c>
      <c r="M343" s="8">
        <v>2023</v>
      </c>
      <c r="N343" s="9">
        <v>0</v>
      </c>
      <c r="O343" s="13">
        <v>42451</v>
      </c>
      <c r="P343" s="13">
        <v>42451</v>
      </c>
    </row>
    <row r="344" spans="1:16" ht="14.25">
      <c r="A344" s="10">
        <v>2016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0</v>
      </c>
      <c r="M344" s="8">
        <v>2016</v>
      </c>
      <c r="N344" s="9">
        <v>5114562</v>
      </c>
      <c r="O344" s="13">
        <v>42451</v>
      </c>
      <c r="P344" s="13">
        <v>42451</v>
      </c>
    </row>
    <row r="345" spans="1:16" ht="14.25">
      <c r="A345" s="10">
        <v>2016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3</v>
      </c>
      <c r="M345" s="8">
        <v>2019</v>
      </c>
      <c r="N345" s="9">
        <v>5428000</v>
      </c>
      <c r="O345" s="13">
        <v>42451</v>
      </c>
      <c r="P345" s="13">
        <v>42451</v>
      </c>
    </row>
    <row r="346" spans="1:16" ht="14.25">
      <c r="A346" s="10">
        <v>2016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50</v>
      </c>
      <c r="H346" s="12" t="s">
        <v>41</v>
      </c>
      <c r="I346" s="12"/>
      <c r="J346" s="12" t="s">
        <v>42</v>
      </c>
      <c r="K346" s="12" t="b">
        <v>1</v>
      </c>
      <c r="L346" s="12">
        <v>6</v>
      </c>
      <c r="M346" s="8">
        <v>2022</v>
      </c>
      <c r="N346" s="9">
        <v>0</v>
      </c>
      <c r="O346" s="13">
        <v>42451</v>
      </c>
      <c r="P346" s="13">
        <v>42451</v>
      </c>
    </row>
    <row r="347" spans="1:16" ht="14.25">
      <c r="A347" s="10">
        <v>2016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50</v>
      </c>
      <c r="H347" s="12" t="s">
        <v>41</v>
      </c>
      <c r="I347" s="12"/>
      <c r="J347" s="12" t="s">
        <v>42</v>
      </c>
      <c r="K347" s="12" t="b">
        <v>1</v>
      </c>
      <c r="L347" s="12">
        <v>1</v>
      </c>
      <c r="M347" s="8">
        <v>2017</v>
      </c>
      <c r="N347" s="9">
        <v>5217000</v>
      </c>
      <c r="O347" s="13">
        <v>42451</v>
      </c>
      <c r="P347" s="13">
        <v>42451</v>
      </c>
    </row>
    <row r="348" spans="1:16" ht="14.25">
      <c r="A348" s="10">
        <v>2016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50</v>
      </c>
      <c r="H348" s="12" t="s">
        <v>41</v>
      </c>
      <c r="I348" s="12"/>
      <c r="J348" s="12" t="s">
        <v>42</v>
      </c>
      <c r="K348" s="12" t="b">
        <v>1</v>
      </c>
      <c r="L348" s="12">
        <v>4</v>
      </c>
      <c r="M348" s="8">
        <v>2020</v>
      </c>
      <c r="N348" s="9">
        <v>0</v>
      </c>
      <c r="O348" s="13">
        <v>42451</v>
      </c>
      <c r="P348" s="13">
        <v>42451</v>
      </c>
    </row>
    <row r="349" spans="1:16" ht="14.25">
      <c r="A349" s="10">
        <v>2016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369</v>
      </c>
      <c r="K349" s="12" t="b">
        <v>1</v>
      </c>
      <c r="L349" s="12">
        <v>7</v>
      </c>
      <c r="M349" s="8">
        <v>2023</v>
      </c>
      <c r="N349" s="9">
        <v>0.0687</v>
      </c>
      <c r="O349" s="13">
        <v>42451</v>
      </c>
      <c r="P349" s="13">
        <v>42451</v>
      </c>
    </row>
    <row r="350" spans="1:16" ht="14.25">
      <c r="A350" s="10">
        <v>2016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369</v>
      </c>
      <c r="K350" s="12" t="b">
        <v>1</v>
      </c>
      <c r="L350" s="12">
        <v>1</v>
      </c>
      <c r="M350" s="8">
        <v>2017</v>
      </c>
      <c r="N350" s="9">
        <v>0.144</v>
      </c>
      <c r="O350" s="13">
        <v>42451</v>
      </c>
      <c r="P350" s="13">
        <v>42451</v>
      </c>
    </row>
    <row r="351" spans="1:16" ht="14.25">
      <c r="A351" s="10">
        <v>2016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369</v>
      </c>
      <c r="K351" s="12" t="b">
        <v>1</v>
      </c>
      <c r="L351" s="12">
        <v>5</v>
      </c>
      <c r="M351" s="8">
        <v>2021</v>
      </c>
      <c r="N351" s="9">
        <v>0.0688</v>
      </c>
      <c r="O351" s="13">
        <v>42451</v>
      </c>
      <c r="P351" s="13">
        <v>42451</v>
      </c>
    </row>
    <row r="352" spans="1:16" ht="14.25">
      <c r="A352" s="10">
        <v>2016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369</v>
      </c>
      <c r="K352" s="12" t="b">
        <v>1</v>
      </c>
      <c r="L352" s="12">
        <v>0</v>
      </c>
      <c r="M352" s="8">
        <v>2016</v>
      </c>
      <c r="N352" s="9">
        <v>0.1303</v>
      </c>
      <c r="O352" s="13">
        <v>42451</v>
      </c>
      <c r="P352" s="13">
        <v>42451</v>
      </c>
    </row>
    <row r="353" spans="1:16" ht="14.25">
      <c r="A353" s="10">
        <v>2016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369</v>
      </c>
      <c r="K353" s="12" t="b">
        <v>1</v>
      </c>
      <c r="L353" s="12">
        <v>6</v>
      </c>
      <c r="M353" s="8">
        <v>2022</v>
      </c>
      <c r="N353" s="9">
        <v>0.0687</v>
      </c>
      <c r="O353" s="13">
        <v>42451</v>
      </c>
      <c r="P353" s="13">
        <v>42451</v>
      </c>
    </row>
    <row r="354" spans="1:16" ht="14.25">
      <c r="A354" s="10">
        <v>2016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369</v>
      </c>
      <c r="K354" s="12" t="b">
        <v>1</v>
      </c>
      <c r="L354" s="12">
        <v>4</v>
      </c>
      <c r="M354" s="8">
        <v>2020</v>
      </c>
      <c r="N354" s="9">
        <v>0.0688</v>
      </c>
      <c r="O354" s="13">
        <v>42451</v>
      </c>
      <c r="P354" s="13">
        <v>42451</v>
      </c>
    </row>
    <row r="355" spans="1:16" ht="14.25">
      <c r="A355" s="10">
        <v>2016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510</v>
      </c>
      <c r="H355" s="12">
        <v>9.6</v>
      </c>
      <c r="I355" s="12"/>
      <c r="J355" s="12" t="s">
        <v>369</v>
      </c>
      <c r="K355" s="12" t="b">
        <v>1</v>
      </c>
      <c r="L355" s="12">
        <v>8</v>
      </c>
      <c r="M355" s="8">
        <v>2024</v>
      </c>
      <c r="N355" s="9">
        <v>0.0687</v>
      </c>
      <c r="O355" s="13">
        <v>42451</v>
      </c>
      <c r="P355" s="13">
        <v>42451</v>
      </c>
    </row>
    <row r="356" spans="1:16" ht="14.25">
      <c r="A356" s="10">
        <v>2016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510</v>
      </c>
      <c r="H356" s="12">
        <v>9.6</v>
      </c>
      <c r="I356" s="12"/>
      <c r="J356" s="12" t="s">
        <v>369</v>
      </c>
      <c r="K356" s="12" t="b">
        <v>1</v>
      </c>
      <c r="L356" s="12">
        <v>2</v>
      </c>
      <c r="M356" s="8">
        <v>2018</v>
      </c>
      <c r="N356" s="9">
        <v>0.1197</v>
      </c>
      <c r="O356" s="13">
        <v>42451</v>
      </c>
      <c r="P356" s="13">
        <v>42451</v>
      </c>
    </row>
    <row r="357" spans="1:16" ht="14.25">
      <c r="A357" s="10">
        <v>2016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510</v>
      </c>
      <c r="H357" s="12">
        <v>9.6</v>
      </c>
      <c r="I357" s="12"/>
      <c r="J357" s="12" t="s">
        <v>369</v>
      </c>
      <c r="K357" s="12" t="b">
        <v>1</v>
      </c>
      <c r="L357" s="12">
        <v>3</v>
      </c>
      <c r="M357" s="8">
        <v>2019</v>
      </c>
      <c r="N357" s="9">
        <v>0.0936</v>
      </c>
      <c r="O357" s="13">
        <v>42451</v>
      </c>
      <c r="P357" s="13">
        <v>42451</v>
      </c>
    </row>
    <row r="358" spans="1:16" ht="14.25">
      <c r="A358" s="10">
        <v>2016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0</v>
      </c>
      <c r="M358" s="8">
        <v>2016</v>
      </c>
      <c r="N358" s="9">
        <v>25201005</v>
      </c>
      <c r="O358" s="13">
        <v>42451</v>
      </c>
      <c r="P358" s="13">
        <v>42451</v>
      </c>
    </row>
    <row r="359" spans="1:16" ht="14.25">
      <c r="A359" s="10">
        <v>2016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2021</v>
      </c>
      <c r="N359" s="9">
        <v>27510000</v>
      </c>
      <c r="O359" s="13">
        <v>42451</v>
      </c>
      <c r="P359" s="13">
        <v>42451</v>
      </c>
    </row>
    <row r="360" spans="1:16" ht="14.25">
      <c r="A360" s="10">
        <v>2016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7</v>
      </c>
      <c r="M360" s="8">
        <v>2023</v>
      </c>
      <c r="N360" s="9">
        <v>28064000</v>
      </c>
      <c r="O360" s="13">
        <v>42451</v>
      </c>
      <c r="P360" s="13">
        <v>42451</v>
      </c>
    </row>
    <row r="361" spans="1:16" ht="14.25">
      <c r="A361" s="10">
        <v>2016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3</v>
      </c>
      <c r="M361" s="8">
        <v>2019</v>
      </c>
      <c r="N361" s="9">
        <v>26704000</v>
      </c>
      <c r="O361" s="13">
        <v>42451</v>
      </c>
      <c r="P361" s="13">
        <v>42451</v>
      </c>
    </row>
    <row r="362" spans="1:16" ht="14.25">
      <c r="A362" s="10">
        <v>2016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8</v>
      </c>
      <c r="M362" s="8">
        <v>2024</v>
      </c>
      <c r="N362" s="9">
        <v>28345000</v>
      </c>
      <c r="O362" s="13">
        <v>42451</v>
      </c>
      <c r="P362" s="13">
        <v>42451</v>
      </c>
    </row>
    <row r="363" spans="1:16" ht="14.25">
      <c r="A363" s="10">
        <v>2016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1</v>
      </c>
      <c r="M363" s="8">
        <v>2017</v>
      </c>
      <c r="N363" s="9">
        <v>25667000</v>
      </c>
      <c r="O363" s="13">
        <v>42451</v>
      </c>
      <c r="P363" s="13">
        <v>42451</v>
      </c>
    </row>
    <row r="364" spans="1:16" ht="14.25">
      <c r="A364" s="10">
        <v>2016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20</v>
      </c>
      <c r="H364" s="12">
        <v>1.1</v>
      </c>
      <c r="I364" s="12"/>
      <c r="J364" s="12" t="s">
        <v>36</v>
      </c>
      <c r="K364" s="12" t="b">
        <v>1</v>
      </c>
      <c r="L364" s="12">
        <v>2</v>
      </c>
      <c r="M364" s="8">
        <v>2018</v>
      </c>
      <c r="N364" s="9">
        <v>26180000</v>
      </c>
      <c r="O364" s="13">
        <v>42451</v>
      </c>
      <c r="P364" s="13">
        <v>42451</v>
      </c>
    </row>
    <row r="365" spans="1:16" ht="14.25">
      <c r="A365" s="10">
        <v>2016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20</v>
      </c>
      <c r="H365" s="12">
        <v>1.1</v>
      </c>
      <c r="I365" s="12"/>
      <c r="J365" s="12" t="s">
        <v>36</v>
      </c>
      <c r="K365" s="12" t="b">
        <v>1</v>
      </c>
      <c r="L365" s="12">
        <v>4</v>
      </c>
      <c r="M365" s="8">
        <v>2020</v>
      </c>
      <c r="N365" s="9">
        <v>27238000</v>
      </c>
      <c r="O365" s="13">
        <v>42451</v>
      </c>
      <c r="P365" s="13">
        <v>42451</v>
      </c>
    </row>
    <row r="366" spans="1:16" ht="14.25">
      <c r="A366" s="10">
        <v>2016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20</v>
      </c>
      <c r="H366" s="12">
        <v>1.1</v>
      </c>
      <c r="I366" s="12"/>
      <c r="J366" s="12" t="s">
        <v>36</v>
      </c>
      <c r="K366" s="12" t="b">
        <v>1</v>
      </c>
      <c r="L366" s="12">
        <v>6</v>
      </c>
      <c r="M366" s="8">
        <v>2022</v>
      </c>
      <c r="N366" s="9">
        <v>27786000</v>
      </c>
      <c r="O366" s="13">
        <v>42451</v>
      </c>
      <c r="P366" s="13">
        <v>42451</v>
      </c>
    </row>
    <row r="367" spans="1:16" ht="14.25">
      <c r="A367" s="10">
        <v>2016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2</v>
      </c>
      <c r="M367" s="8">
        <v>2018</v>
      </c>
      <c r="N367" s="9">
        <v>700000</v>
      </c>
      <c r="O367" s="13">
        <v>42451</v>
      </c>
      <c r="P367" s="13">
        <v>42451</v>
      </c>
    </row>
    <row r="368" spans="1:16" ht="14.25">
      <c r="A368" s="10">
        <v>2016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7</v>
      </c>
      <c r="M368" s="8">
        <v>2023</v>
      </c>
      <c r="N368" s="9">
        <v>0</v>
      </c>
      <c r="O368" s="13">
        <v>42451</v>
      </c>
      <c r="P368" s="13">
        <v>42451</v>
      </c>
    </row>
    <row r="369" spans="1:16" ht="14.25">
      <c r="A369" s="10">
        <v>2016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3</v>
      </c>
      <c r="M369" s="8">
        <v>2019</v>
      </c>
      <c r="N369" s="9">
        <v>700000</v>
      </c>
      <c r="O369" s="13">
        <v>42451</v>
      </c>
      <c r="P369" s="13">
        <v>42451</v>
      </c>
    </row>
    <row r="370" spans="1:16" ht="14.25">
      <c r="A370" s="10">
        <v>2016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1</v>
      </c>
      <c r="M370" s="8">
        <v>2017</v>
      </c>
      <c r="N370" s="9">
        <v>300000</v>
      </c>
      <c r="O370" s="13">
        <v>42451</v>
      </c>
      <c r="P370" s="13">
        <v>42451</v>
      </c>
    </row>
    <row r="371" spans="1:16" ht="14.25">
      <c r="A371" s="10">
        <v>2016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6</v>
      </c>
      <c r="M371" s="8">
        <v>2022</v>
      </c>
      <c r="N371" s="9">
        <v>0</v>
      </c>
      <c r="O371" s="13">
        <v>42451</v>
      </c>
      <c r="P371" s="13">
        <v>42451</v>
      </c>
    </row>
    <row r="372" spans="1:16" ht="14.25">
      <c r="A372" s="10">
        <v>2016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4</v>
      </c>
      <c r="M372" s="8">
        <v>2020</v>
      </c>
      <c r="N372" s="9">
        <v>600000</v>
      </c>
      <c r="O372" s="13">
        <v>42451</v>
      </c>
      <c r="P372" s="13">
        <v>42451</v>
      </c>
    </row>
    <row r="373" spans="1:16" ht="14.25">
      <c r="A373" s="10">
        <v>2016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620</v>
      </c>
      <c r="H373" s="12" t="s">
        <v>88</v>
      </c>
      <c r="I373" s="12"/>
      <c r="J373" s="12" t="s">
        <v>89</v>
      </c>
      <c r="K373" s="12" t="b">
        <v>1</v>
      </c>
      <c r="L373" s="12">
        <v>8</v>
      </c>
      <c r="M373" s="8">
        <v>2024</v>
      </c>
      <c r="N373" s="9">
        <v>0</v>
      </c>
      <c r="O373" s="13">
        <v>42451</v>
      </c>
      <c r="P373" s="13">
        <v>42451</v>
      </c>
    </row>
    <row r="374" spans="1:16" ht="14.25">
      <c r="A374" s="10">
        <v>2016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620</v>
      </c>
      <c r="H374" s="12" t="s">
        <v>88</v>
      </c>
      <c r="I374" s="12"/>
      <c r="J374" s="12" t="s">
        <v>89</v>
      </c>
      <c r="K374" s="12" t="b">
        <v>1</v>
      </c>
      <c r="L374" s="12">
        <v>0</v>
      </c>
      <c r="M374" s="8">
        <v>2016</v>
      </c>
      <c r="N374" s="9">
        <v>57072</v>
      </c>
      <c r="O374" s="13">
        <v>42451</v>
      </c>
      <c r="P374" s="13">
        <v>42451</v>
      </c>
    </row>
    <row r="375" spans="1:16" ht="14.25">
      <c r="A375" s="10">
        <v>2016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620</v>
      </c>
      <c r="H375" s="12" t="s">
        <v>88</v>
      </c>
      <c r="I375" s="12"/>
      <c r="J375" s="12" t="s">
        <v>89</v>
      </c>
      <c r="K375" s="12" t="b">
        <v>1</v>
      </c>
      <c r="L375" s="12">
        <v>5</v>
      </c>
      <c r="M375" s="8">
        <v>2021</v>
      </c>
      <c r="N375" s="9">
        <v>0</v>
      </c>
      <c r="O375" s="13">
        <v>42451</v>
      </c>
      <c r="P375" s="13">
        <v>42451</v>
      </c>
    </row>
    <row r="376" spans="1:16" ht="14.25">
      <c r="A376" s="10">
        <v>2016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391</v>
      </c>
      <c r="K376" s="12" t="b">
        <v>1</v>
      </c>
      <c r="L376" s="12">
        <v>5</v>
      </c>
      <c r="M376" s="8">
        <v>2021</v>
      </c>
      <c r="N376" s="9">
        <v>0</v>
      </c>
      <c r="O376" s="13">
        <v>42451</v>
      </c>
      <c r="P376" s="13">
        <v>42451</v>
      </c>
    </row>
    <row r="377" spans="1:16" ht="14.25">
      <c r="A377" s="10">
        <v>2016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391</v>
      </c>
      <c r="K377" s="12" t="b">
        <v>1</v>
      </c>
      <c r="L377" s="12">
        <v>3</v>
      </c>
      <c r="M377" s="8">
        <v>2019</v>
      </c>
      <c r="N377" s="9">
        <v>0</v>
      </c>
      <c r="O377" s="13">
        <v>42451</v>
      </c>
      <c r="P377" s="13">
        <v>42451</v>
      </c>
    </row>
    <row r="378" spans="1:16" ht="14.25">
      <c r="A378" s="10">
        <v>2016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391</v>
      </c>
      <c r="K378" s="12" t="b">
        <v>1</v>
      </c>
      <c r="L378" s="12">
        <v>4</v>
      </c>
      <c r="M378" s="8">
        <v>2020</v>
      </c>
      <c r="N378" s="9">
        <v>0</v>
      </c>
      <c r="O378" s="13">
        <v>42451</v>
      </c>
      <c r="P378" s="13">
        <v>42451</v>
      </c>
    </row>
    <row r="379" spans="1:16" ht="14.25">
      <c r="A379" s="10">
        <v>2016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391</v>
      </c>
      <c r="K379" s="12" t="b">
        <v>1</v>
      </c>
      <c r="L379" s="12">
        <v>8</v>
      </c>
      <c r="M379" s="8">
        <v>2024</v>
      </c>
      <c r="N379" s="9">
        <v>0</v>
      </c>
      <c r="O379" s="13">
        <v>42451</v>
      </c>
      <c r="P379" s="13">
        <v>42451</v>
      </c>
    </row>
    <row r="380" spans="1:16" ht="14.25">
      <c r="A380" s="10">
        <v>2016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391</v>
      </c>
      <c r="K380" s="12" t="b">
        <v>1</v>
      </c>
      <c r="L380" s="12">
        <v>1</v>
      </c>
      <c r="M380" s="8">
        <v>2017</v>
      </c>
      <c r="N380" s="9">
        <v>0</v>
      </c>
      <c r="O380" s="13">
        <v>42451</v>
      </c>
      <c r="P380" s="13">
        <v>42451</v>
      </c>
    </row>
    <row r="381" spans="1:16" ht="14.25">
      <c r="A381" s="10">
        <v>2016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391</v>
      </c>
      <c r="K381" s="12" t="b">
        <v>1</v>
      </c>
      <c r="L381" s="12">
        <v>7</v>
      </c>
      <c r="M381" s="8">
        <v>2023</v>
      </c>
      <c r="N381" s="9">
        <v>0</v>
      </c>
      <c r="O381" s="13">
        <v>42451</v>
      </c>
      <c r="P381" s="13">
        <v>42451</v>
      </c>
    </row>
    <row r="382" spans="1:16" ht="14.25">
      <c r="A382" s="10">
        <v>2016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950</v>
      </c>
      <c r="H382" s="12">
        <v>15</v>
      </c>
      <c r="I382" s="12"/>
      <c r="J382" s="12" t="s">
        <v>391</v>
      </c>
      <c r="K382" s="12" t="b">
        <v>1</v>
      </c>
      <c r="L382" s="12">
        <v>0</v>
      </c>
      <c r="M382" s="8">
        <v>2016</v>
      </c>
      <c r="N382" s="9">
        <v>0</v>
      </c>
      <c r="O382" s="13">
        <v>42451</v>
      </c>
      <c r="P382" s="13">
        <v>42451</v>
      </c>
    </row>
    <row r="383" spans="1:16" ht="14.25">
      <c r="A383" s="10">
        <v>2016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950</v>
      </c>
      <c r="H383" s="12">
        <v>15</v>
      </c>
      <c r="I383" s="12"/>
      <c r="J383" s="12" t="s">
        <v>391</v>
      </c>
      <c r="K383" s="12" t="b">
        <v>1</v>
      </c>
      <c r="L383" s="12">
        <v>2</v>
      </c>
      <c r="M383" s="8">
        <v>2018</v>
      </c>
      <c r="N383" s="9">
        <v>0</v>
      </c>
      <c r="O383" s="13">
        <v>42451</v>
      </c>
      <c r="P383" s="13">
        <v>42451</v>
      </c>
    </row>
    <row r="384" spans="1:16" ht="14.25">
      <c r="A384" s="10">
        <v>2016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950</v>
      </c>
      <c r="H384" s="12">
        <v>15</v>
      </c>
      <c r="I384" s="12"/>
      <c r="J384" s="12" t="s">
        <v>391</v>
      </c>
      <c r="K384" s="12" t="b">
        <v>1</v>
      </c>
      <c r="L384" s="12">
        <v>6</v>
      </c>
      <c r="M384" s="8">
        <v>2022</v>
      </c>
      <c r="N384" s="9">
        <v>0</v>
      </c>
      <c r="O384" s="13">
        <v>42451</v>
      </c>
      <c r="P384" s="13">
        <v>42451</v>
      </c>
    </row>
    <row r="385" spans="1:16" ht="14.25">
      <c r="A385" s="10">
        <v>2016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359</v>
      </c>
      <c r="J385" s="12" t="s">
        <v>360</v>
      </c>
      <c r="K385" s="12" t="b">
        <v>1</v>
      </c>
      <c r="L385" s="12">
        <v>3</v>
      </c>
      <c r="M385" s="8">
        <v>2019</v>
      </c>
      <c r="N385" s="9">
        <v>0.0397</v>
      </c>
      <c r="O385" s="13">
        <v>42451</v>
      </c>
      <c r="P385" s="13">
        <v>42451</v>
      </c>
    </row>
    <row r="386" spans="1:16" ht="14.25">
      <c r="A386" s="10">
        <v>2016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300</v>
      </c>
      <c r="H386" s="12">
        <v>5</v>
      </c>
      <c r="I386" s="12" t="s">
        <v>348</v>
      </c>
      <c r="J386" s="12" t="s">
        <v>72</v>
      </c>
      <c r="K386" s="12" t="b">
        <v>0</v>
      </c>
      <c r="L386" s="12">
        <v>5</v>
      </c>
      <c r="M386" s="8">
        <v>2021</v>
      </c>
      <c r="N386" s="9">
        <v>663414.88</v>
      </c>
      <c r="O386" s="13">
        <v>42451</v>
      </c>
      <c r="P386" s="13">
        <v>42451</v>
      </c>
    </row>
    <row r="387" spans="1:16" ht="14.25">
      <c r="A387" s="10">
        <v>2016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300</v>
      </c>
      <c r="H387" s="12">
        <v>5</v>
      </c>
      <c r="I387" s="12" t="s">
        <v>348</v>
      </c>
      <c r="J387" s="12" t="s">
        <v>72</v>
      </c>
      <c r="K387" s="12" t="b">
        <v>0</v>
      </c>
      <c r="L387" s="12">
        <v>3</v>
      </c>
      <c r="M387" s="8">
        <v>2019</v>
      </c>
      <c r="N387" s="9">
        <v>857414.88</v>
      </c>
      <c r="O387" s="13">
        <v>42451</v>
      </c>
      <c r="P387" s="13">
        <v>42451</v>
      </c>
    </row>
    <row r="388" spans="1:16" ht="14.25">
      <c r="A388" s="10">
        <v>2016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359</v>
      </c>
      <c r="J388" s="12" t="s">
        <v>360</v>
      </c>
      <c r="K388" s="12" t="b">
        <v>1</v>
      </c>
      <c r="L388" s="12">
        <v>6</v>
      </c>
      <c r="M388" s="8">
        <v>2022</v>
      </c>
      <c r="N388" s="9">
        <v>0.0271</v>
      </c>
      <c r="O388" s="13">
        <v>42451</v>
      </c>
      <c r="P388" s="13">
        <v>42451</v>
      </c>
    </row>
    <row r="389" spans="1:16" ht="14.25">
      <c r="A389" s="10">
        <v>2016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470</v>
      </c>
      <c r="H389" s="12">
        <v>9.1</v>
      </c>
      <c r="I389" s="12" t="s">
        <v>359</v>
      </c>
      <c r="J389" s="12" t="s">
        <v>360</v>
      </c>
      <c r="K389" s="12" t="b">
        <v>1</v>
      </c>
      <c r="L389" s="12">
        <v>5</v>
      </c>
      <c r="M389" s="8">
        <v>2021</v>
      </c>
      <c r="N389" s="9">
        <v>0.0288</v>
      </c>
      <c r="O389" s="13">
        <v>42451</v>
      </c>
      <c r="P389" s="13">
        <v>42451</v>
      </c>
    </row>
    <row r="390" spans="1:16" ht="14.25">
      <c r="A390" s="10">
        <v>2016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470</v>
      </c>
      <c r="H390" s="12">
        <v>9.1</v>
      </c>
      <c r="I390" s="12" t="s">
        <v>359</v>
      </c>
      <c r="J390" s="12" t="s">
        <v>360</v>
      </c>
      <c r="K390" s="12" t="b">
        <v>1</v>
      </c>
      <c r="L390" s="12">
        <v>7</v>
      </c>
      <c r="M390" s="8">
        <v>2023</v>
      </c>
      <c r="N390" s="9">
        <v>0.0227</v>
      </c>
      <c r="O390" s="13">
        <v>42451</v>
      </c>
      <c r="P390" s="13">
        <v>42451</v>
      </c>
    </row>
    <row r="391" spans="1:16" ht="14.25">
      <c r="A391" s="10">
        <v>2016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359</v>
      </c>
      <c r="J391" s="12" t="s">
        <v>360</v>
      </c>
      <c r="K391" s="12" t="b">
        <v>1</v>
      </c>
      <c r="L391" s="12">
        <v>4</v>
      </c>
      <c r="M391" s="8">
        <v>2020</v>
      </c>
      <c r="N391" s="9">
        <v>0.0303</v>
      </c>
      <c r="O391" s="13">
        <v>42451</v>
      </c>
      <c r="P391" s="13">
        <v>42451</v>
      </c>
    </row>
    <row r="392" spans="1:16" ht="14.25">
      <c r="A392" s="10">
        <v>2016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359</v>
      </c>
      <c r="J392" s="12" t="s">
        <v>360</v>
      </c>
      <c r="K392" s="12" t="b">
        <v>1</v>
      </c>
      <c r="L392" s="12">
        <v>2</v>
      </c>
      <c r="M392" s="8">
        <v>2018</v>
      </c>
      <c r="N392" s="9">
        <v>0.0455</v>
      </c>
      <c r="O392" s="13">
        <v>42451</v>
      </c>
      <c r="P392" s="13">
        <v>42451</v>
      </c>
    </row>
    <row r="393" spans="1:16" ht="14.25">
      <c r="A393" s="10">
        <v>2016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470</v>
      </c>
      <c r="H393" s="12">
        <v>9.1</v>
      </c>
      <c r="I393" s="12" t="s">
        <v>359</v>
      </c>
      <c r="J393" s="12" t="s">
        <v>360</v>
      </c>
      <c r="K393" s="12" t="b">
        <v>1</v>
      </c>
      <c r="L393" s="12">
        <v>0</v>
      </c>
      <c r="M393" s="8">
        <v>2016</v>
      </c>
      <c r="N393" s="9">
        <v>0.0437</v>
      </c>
      <c r="O393" s="13">
        <v>42451</v>
      </c>
      <c r="P393" s="13">
        <v>42451</v>
      </c>
    </row>
    <row r="394" spans="1:16" ht="14.25">
      <c r="A394" s="10">
        <v>2016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470</v>
      </c>
      <c r="H394" s="12">
        <v>9.1</v>
      </c>
      <c r="I394" s="12" t="s">
        <v>359</v>
      </c>
      <c r="J394" s="12" t="s">
        <v>360</v>
      </c>
      <c r="K394" s="12" t="b">
        <v>1</v>
      </c>
      <c r="L394" s="12">
        <v>1</v>
      </c>
      <c r="M394" s="8">
        <v>2017</v>
      </c>
      <c r="N394" s="9">
        <v>0.0488</v>
      </c>
      <c r="O394" s="13">
        <v>42451</v>
      </c>
      <c r="P394" s="13">
        <v>42451</v>
      </c>
    </row>
    <row r="395" spans="1:16" ht="14.25">
      <c r="A395" s="10">
        <v>2016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470</v>
      </c>
      <c r="H395" s="12">
        <v>9.1</v>
      </c>
      <c r="I395" s="12" t="s">
        <v>359</v>
      </c>
      <c r="J395" s="12" t="s">
        <v>360</v>
      </c>
      <c r="K395" s="12" t="b">
        <v>1</v>
      </c>
      <c r="L395" s="12">
        <v>8</v>
      </c>
      <c r="M395" s="8">
        <v>2024</v>
      </c>
      <c r="N395" s="9">
        <v>0.0201</v>
      </c>
      <c r="O395" s="13">
        <v>42451</v>
      </c>
      <c r="P395" s="13">
        <v>42451</v>
      </c>
    </row>
    <row r="396" spans="1:16" ht="14.25">
      <c r="A396" s="10">
        <v>2016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6</v>
      </c>
      <c r="M396" s="8">
        <v>2022</v>
      </c>
      <c r="N396" s="9">
        <v>0</v>
      </c>
      <c r="O396" s="13">
        <v>42451</v>
      </c>
      <c r="P396" s="13">
        <v>42451</v>
      </c>
    </row>
    <row r="397" spans="1:16" ht="14.25">
      <c r="A397" s="10">
        <v>2016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0</v>
      </c>
      <c r="M397" s="8">
        <v>2016</v>
      </c>
      <c r="N397" s="9">
        <v>0</v>
      </c>
      <c r="O397" s="13">
        <v>42451</v>
      </c>
      <c r="P397" s="13">
        <v>42451</v>
      </c>
    </row>
    <row r="398" spans="1:16" ht="14.25">
      <c r="A398" s="10">
        <v>2016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1</v>
      </c>
      <c r="M398" s="8">
        <v>2017</v>
      </c>
      <c r="N398" s="9">
        <v>0</v>
      </c>
      <c r="O398" s="13">
        <v>42451</v>
      </c>
      <c r="P398" s="13">
        <v>42451</v>
      </c>
    </row>
    <row r="399" spans="1:16" ht="14.25">
      <c r="A399" s="10">
        <v>2016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2</v>
      </c>
      <c r="M399" s="8">
        <v>2018</v>
      </c>
      <c r="N399" s="9">
        <v>0</v>
      </c>
      <c r="O399" s="13">
        <v>42451</v>
      </c>
      <c r="P399" s="13">
        <v>42451</v>
      </c>
    </row>
    <row r="400" spans="1:16" ht="14.25">
      <c r="A400" s="10">
        <v>2016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4</v>
      </c>
      <c r="M400" s="8">
        <v>2020</v>
      </c>
      <c r="N400" s="9">
        <v>0</v>
      </c>
      <c r="O400" s="13">
        <v>42451</v>
      </c>
      <c r="P400" s="13">
        <v>42451</v>
      </c>
    </row>
    <row r="401" spans="1:16" ht="14.25">
      <c r="A401" s="10">
        <v>2016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5</v>
      </c>
      <c r="M401" s="8">
        <v>2021</v>
      </c>
      <c r="N401" s="9">
        <v>0</v>
      </c>
      <c r="O401" s="13">
        <v>42451</v>
      </c>
      <c r="P401" s="13">
        <v>42451</v>
      </c>
    </row>
    <row r="402" spans="1:16" ht="14.25">
      <c r="A402" s="10">
        <v>2016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890</v>
      </c>
      <c r="H402" s="12">
        <v>14.2</v>
      </c>
      <c r="I402" s="12"/>
      <c r="J402" s="12" t="s">
        <v>124</v>
      </c>
      <c r="K402" s="12" t="b">
        <v>1</v>
      </c>
      <c r="L402" s="12">
        <v>8</v>
      </c>
      <c r="M402" s="8">
        <v>2024</v>
      </c>
      <c r="N402" s="9">
        <v>0</v>
      </c>
      <c r="O402" s="13">
        <v>42451</v>
      </c>
      <c r="P402" s="13">
        <v>42451</v>
      </c>
    </row>
    <row r="403" spans="1:16" ht="14.25">
      <c r="A403" s="10">
        <v>2016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348</v>
      </c>
      <c r="J403" s="12" t="s">
        <v>72</v>
      </c>
      <c r="K403" s="12" t="b">
        <v>0</v>
      </c>
      <c r="L403" s="12">
        <v>1</v>
      </c>
      <c r="M403" s="8">
        <v>2017</v>
      </c>
      <c r="N403" s="9">
        <v>996998.88</v>
      </c>
      <c r="O403" s="13">
        <v>42451</v>
      </c>
      <c r="P403" s="13">
        <v>42451</v>
      </c>
    </row>
    <row r="404" spans="1:16" ht="14.25">
      <c r="A404" s="10">
        <v>2016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348</v>
      </c>
      <c r="J404" s="12" t="s">
        <v>72</v>
      </c>
      <c r="K404" s="12" t="b">
        <v>0</v>
      </c>
      <c r="L404" s="12">
        <v>7</v>
      </c>
      <c r="M404" s="8">
        <v>2023</v>
      </c>
      <c r="N404" s="9">
        <v>585614.88</v>
      </c>
      <c r="O404" s="13">
        <v>42451</v>
      </c>
      <c r="P404" s="13">
        <v>42451</v>
      </c>
    </row>
    <row r="405" spans="1:16" ht="14.25">
      <c r="A405" s="10">
        <v>2016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348</v>
      </c>
      <c r="J405" s="12" t="s">
        <v>72</v>
      </c>
      <c r="K405" s="12" t="b">
        <v>0</v>
      </c>
      <c r="L405" s="12">
        <v>0</v>
      </c>
      <c r="M405" s="8">
        <v>2016</v>
      </c>
      <c r="N405" s="9">
        <v>947266.88</v>
      </c>
      <c r="O405" s="13">
        <v>42451</v>
      </c>
      <c r="P405" s="13">
        <v>42451</v>
      </c>
    </row>
    <row r="406" spans="1:16" ht="14.25">
      <c r="A406" s="10">
        <v>2016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348</v>
      </c>
      <c r="J406" s="12" t="s">
        <v>72</v>
      </c>
      <c r="K406" s="12" t="b">
        <v>0</v>
      </c>
      <c r="L406" s="12">
        <v>8</v>
      </c>
      <c r="M406" s="8">
        <v>2024</v>
      </c>
      <c r="N406" s="9">
        <v>553068.76</v>
      </c>
      <c r="O406" s="13">
        <v>42451</v>
      </c>
      <c r="P406" s="13">
        <v>42451</v>
      </c>
    </row>
    <row r="407" spans="1:16" ht="14.25">
      <c r="A407" s="10">
        <v>2016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348</v>
      </c>
      <c r="J407" s="12" t="s">
        <v>72</v>
      </c>
      <c r="K407" s="12" t="b">
        <v>0</v>
      </c>
      <c r="L407" s="12">
        <v>6</v>
      </c>
      <c r="M407" s="8">
        <v>2022</v>
      </c>
      <c r="N407" s="9">
        <v>663414.88</v>
      </c>
      <c r="O407" s="13">
        <v>42451</v>
      </c>
      <c r="P407" s="13">
        <v>42451</v>
      </c>
    </row>
    <row r="408" spans="1:16" ht="14.25">
      <c r="A408" s="10">
        <v>2016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348</v>
      </c>
      <c r="J408" s="12" t="s">
        <v>72</v>
      </c>
      <c r="K408" s="12" t="b">
        <v>0</v>
      </c>
      <c r="L408" s="12">
        <v>4</v>
      </c>
      <c r="M408" s="8">
        <v>2020</v>
      </c>
      <c r="N408" s="9">
        <v>663414.88</v>
      </c>
      <c r="O408" s="13">
        <v>42451</v>
      </c>
      <c r="P408" s="13">
        <v>42451</v>
      </c>
    </row>
    <row r="409" spans="1:16" ht="14.25">
      <c r="A409" s="10">
        <v>2016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4</v>
      </c>
      <c r="M409" s="8">
        <v>2020</v>
      </c>
      <c r="N409" s="9">
        <v>0</v>
      </c>
      <c r="O409" s="13">
        <v>42451</v>
      </c>
      <c r="P409" s="13">
        <v>42451</v>
      </c>
    </row>
    <row r="410" spans="1:16" ht="14.25">
      <c r="A410" s="10">
        <v>2016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6</v>
      </c>
      <c r="M410" s="8">
        <v>2022</v>
      </c>
      <c r="N410" s="9">
        <v>0</v>
      </c>
      <c r="O410" s="13">
        <v>42451</v>
      </c>
      <c r="P410" s="13">
        <v>42451</v>
      </c>
    </row>
    <row r="411" spans="1:16" ht="14.25">
      <c r="A411" s="10">
        <v>2016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2</v>
      </c>
      <c r="M411" s="8">
        <v>2018</v>
      </c>
      <c r="N411" s="9">
        <v>0</v>
      </c>
      <c r="O411" s="13">
        <v>42451</v>
      </c>
      <c r="P411" s="13">
        <v>42451</v>
      </c>
    </row>
    <row r="412" spans="1:16" ht="14.25">
      <c r="A412" s="10">
        <v>2016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1</v>
      </c>
      <c r="M412" s="8">
        <v>2017</v>
      </c>
      <c r="N412" s="9">
        <v>0</v>
      </c>
      <c r="O412" s="13">
        <v>42451</v>
      </c>
      <c r="P412" s="13">
        <v>42451</v>
      </c>
    </row>
    <row r="413" spans="1:16" ht="14.25">
      <c r="A413" s="10">
        <v>2016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0</v>
      </c>
      <c r="M413" s="8">
        <v>2016</v>
      </c>
      <c r="N413" s="9">
        <v>0</v>
      </c>
      <c r="O413" s="13">
        <v>42451</v>
      </c>
      <c r="P413" s="13">
        <v>42451</v>
      </c>
    </row>
    <row r="414" spans="1:16" ht="14.25">
      <c r="A414" s="10">
        <v>2016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3</v>
      </c>
      <c r="M414" s="8">
        <v>2019</v>
      </c>
      <c r="N414" s="9">
        <v>0</v>
      </c>
      <c r="O414" s="13">
        <v>42451</v>
      </c>
      <c r="P414" s="13">
        <v>42451</v>
      </c>
    </row>
    <row r="415" spans="1:16" ht="14.25">
      <c r="A415" s="10">
        <v>2016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7</v>
      </c>
      <c r="M415" s="8">
        <v>2023</v>
      </c>
      <c r="N415" s="9">
        <v>0</v>
      </c>
      <c r="O415" s="13">
        <v>42451</v>
      </c>
      <c r="P415" s="13">
        <v>42451</v>
      </c>
    </row>
    <row r="416" spans="1:16" ht="14.25">
      <c r="A416" s="10">
        <v>2016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5</v>
      </c>
      <c r="M416" s="8">
        <v>2021</v>
      </c>
      <c r="N416" s="9">
        <v>0</v>
      </c>
      <c r="O416" s="13">
        <v>42451</v>
      </c>
      <c r="P416" s="13">
        <v>42451</v>
      </c>
    </row>
    <row r="417" spans="1:16" ht="14.25">
      <c r="A417" s="10">
        <v>2016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8</v>
      </c>
      <c r="M417" s="8">
        <v>2024</v>
      </c>
      <c r="N417" s="9">
        <v>0</v>
      </c>
      <c r="O417" s="13">
        <v>42451</v>
      </c>
      <c r="P417" s="13">
        <v>42451</v>
      </c>
    </row>
    <row r="418" spans="1:16" ht="14.25">
      <c r="A418" s="10">
        <v>2016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4</v>
      </c>
      <c r="M418" s="8">
        <v>2020</v>
      </c>
      <c r="N418" s="9">
        <v>0</v>
      </c>
      <c r="O418" s="13">
        <v>42451</v>
      </c>
      <c r="P418" s="13">
        <v>42451</v>
      </c>
    </row>
    <row r="419" spans="1:16" ht="14.25">
      <c r="A419" s="10">
        <v>2016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5</v>
      </c>
      <c r="M419" s="8">
        <v>2021</v>
      </c>
      <c r="N419" s="9">
        <v>0</v>
      </c>
      <c r="O419" s="13">
        <v>42451</v>
      </c>
      <c r="P419" s="13">
        <v>42451</v>
      </c>
    </row>
    <row r="420" spans="1:16" ht="14.25">
      <c r="A420" s="10">
        <v>2016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3</v>
      </c>
      <c r="M420" s="8">
        <v>2019</v>
      </c>
      <c r="N420" s="9">
        <v>0</v>
      </c>
      <c r="O420" s="13">
        <v>42451</v>
      </c>
      <c r="P420" s="13">
        <v>42451</v>
      </c>
    </row>
    <row r="421" spans="1:16" ht="14.25">
      <c r="A421" s="10">
        <v>2016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2</v>
      </c>
      <c r="M421" s="8">
        <v>2018</v>
      </c>
      <c r="N421" s="9">
        <v>0</v>
      </c>
      <c r="O421" s="13">
        <v>42451</v>
      </c>
      <c r="P421" s="13">
        <v>42451</v>
      </c>
    </row>
    <row r="422" spans="1:16" ht="14.25">
      <c r="A422" s="10">
        <v>2016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1</v>
      </c>
      <c r="M422" s="8">
        <v>2017</v>
      </c>
      <c r="N422" s="9">
        <v>0</v>
      </c>
      <c r="O422" s="13">
        <v>42451</v>
      </c>
      <c r="P422" s="13">
        <v>42451</v>
      </c>
    </row>
    <row r="423" spans="1:16" ht="14.25">
      <c r="A423" s="10">
        <v>2016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7</v>
      </c>
      <c r="M423" s="8">
        <v>2023</v>
      </c>
      <c r="N423" s="9">
        <v>0</v>
      </c>
      <c r="O423" s="13">
        <v>42451</v>
      </c>
      <c r="P423" s="13">
        <v>42451</v>
      </c>
    </row>
    <row r="424" spans="1:16" ht="14.25">
      <c r="A424" s="10">
        <v>2016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0</v>
      </c>
      <c r="M424" s="8">
        <v>2016</v>
      </c>
      <c r="N424" s="9">
        <v>0</v>
      </c>
      <c r="O424" s="13">
        <v>42451</v>
      </c>
      <c r="P424" s="13">
        <v>42451</v>
      </c>
    </row>
    <row r="425" spans="1:16" ht="14.25">
      <c r="A425" s="10">
        <v>2016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6</v>
      </c>
      <c r="M425" s="8">
        <v>2022</v>
      </c>
      <c r="N425" s="9">
        <v>0</v>
      </c>
      <c r="O425" s="13">
        <v>42451</v>
      </c>
      <c r="P425" s="13">
        <v>42451</v>
      </c>
    </row>
    <row r="426" spans="1:16" ht="14.25">
      <c r="A426" s="10">
        <v>2016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8</v>
      </c>
      <c r="M426" s="8">
        <v>2024</v>
      </c>
      <c r="N426" s="9">
        <v>0</v>
      </c>
      <c r="O426" s="13">
        <v>42451</v>
      </c>
      <c r="P426" s="13">
        <v>42451</v>
      </c>
    </row>
    <row r="427" spans="1:16" ht="14.25">
      <c r="A427" s="10">
        <v>2016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260</v>
      </c>
      <c r="H427" s="12">
        <v>4.3</v>
      </c>
      <c r="I427" s="12"/>
      <c r="J427" s="12" t="s">
        <v>68</v>
      </c>
      <c r="K427" s="12" t="b">
        <v>1</v>
      </c>
      <c r="L427" s="12">
        <v>7</v>
      </c>
      <c r="M427" s="8">
        <v>2023</v>
      </c>
      <c r="N427" s="9">
        <v>0</v>
      </c>
      <c r="O427" s="13">
        <v>42451</v>
      </c>
      <c r="P427" s="13">
        <v>42451</v>
      </c>
    </row>
    <row r="428" spans="1:16" ht="14.25">
      <c r="A428" s="10">
        <v>2016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430</v>
      </c>
      <c r="H428" s="12">
        <v>8.2</v>
      </c>
      <c r="I428" s="12" t="s">
        <v>357</v>
      </c>
      <c r="J428" s="12" t="s">
        <v>358</v>
      </c>
      <c r="K428" s="12" t="b">
        <v>0</v>
      </c>
      <c r="L428" s="12">
        <v>0</v>
      </c>
      <c r="M428" s="8">
        <v>2016</v>
      </c>
      <c r="N428" s="9">
        <v>1740167.88</v>
      </c>
      <c r="O428" s="13">
        <v>42451</v>
      </c>
      <c r="P428" s="13">
        <v>42451</v>
      </c>
    </row>
    <row r="429" spans="1:16" ht="14.25">
      <c r="A429" s="10">
        <v>2016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430</v>
      </c>
      <c r="H429" s="12">
        <v>8.2</v>
      </c>
      <c r="I429" s="12" t="s">
        <v>357</v>
      </c>
      <c r="J429" s="12" t="s">
        <v>358</v>
      </c>
      <c r="K429" s="12" t="b">
        <v>0</v>
      </c>
      <c r="L429" s="12">
        <v>8</v>
      </c>
      <c r="M429" s="8">
        <v>2024</v>
      </c>
      <c r="N429" s="9">
        <v>1949000</v>
      </c>
      <c r="O429" s="13">
        <v>42451</v>
      </c>
      <c r="P429" s="13">
        <v>42451</v>
      </c>
    </row>
    <row r="430" spans="1:16" ht="14.25">
      <c r="A430" s="10">
        <v>2016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430</v>
      </c>
      <c r="H430" s="12">
        <v>8.2</v>
      </c>
      <c r="I430" s="12" t="s">
        <v>357</v>
      </c>
      <c r="J430" s="12" t="s">
        <v>358</v>
      </c>
      <c r="K430" s="12" t="b">
        <v>0</v>
      </c>
      <c r="L430" s="12">
        <v>3</v>
      </c>
      <c r="M430" s="8">
        <v>2019</v>
      </c>
      <c r="N430" s="9">
        <v>1836000</v>
      </c>
      <c r="O430" s="13">
        <v>42451</v>
      </c>
      <c r="P430" s="13">
        <v>42451</v>
      </c>
    </row>
    <row r="431" spans="1:16" ht="14.25">
      <c r="A431" s="10">
        <v>2016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430</v>
      </c>
      <c r="H431" s="12">
        <v>8.2</v>
      </c>
      <c r="I431" s="12" t="s">
        <v>357</v>
      </c>
      <c r="J431" s="12" t="s">
        <v>358</v>
      </c>
      <c r="K431" s="12" t="b">
        <v>0</v>
      </c>
      <c r="L431" s="12">
        <v>4</v>
      </c>
      <c r="M431" s="8">
        <v>2020</v>
      </c>
      <c r="N431" s="9">
        <v>1872000</v>
      </c>
      <c r="O431" s="13">
        <v>42451</v>
      </c>
      <c r="P431" s="13">
        <v>42451</v>
      </c>
    </row>
    <row r="432" spans="1:16" ht="14.25">
      <c r="A432" s="10">
        <v>2016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357</v>
      </c>
      <c r="J432" s="12" t="s">
        <v>358</v>
      </c>
      <c r="K432" s="12" t="b">
        <v>0</v>
      </c>
      <c r="L432" s="12">
        <v>7</v>
      </c>
      <c r="M432" s="8">
        <v>2023</v>
      </c>
      <c r="N432" s="9">
        <v>1929000</v>
      </c>
      <c r="O432" s="13">
        <v>42451</v>
      </c>
      <c r="P432" s="13">
        <v>42451</v>
      </c>
    </row>
    <row r="433" spans="1:16" ht="14.25">
      <c r="A433" s="10">
        <v>2016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357</v>
      </c>
      <c r="J433" s="12" t="s">
        <v>358</v>
      </c>
      <c r="K433" s="12" t="b">
        <v>0</v>
      </c>
      <c r="L433" s="12">
        <v>6</v>
      </c>
      <c r="M433" s="8">
        <v>2022</v>
      </c>
      <c r="N433" s="9">
        <v>1910000</v>
      </c>
      <c r="O433" s="13">
        <v>42451</v>
      </c>
      <c r="P433" s="13">
        <v>42451</v>
      </c>
    </row>
    <row r="434" spans="1:16" ht="14.25">
      <c r="A434" s="10">
        <v>2016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357</v>
      </c>
      <c r="J434" s="12" t="s">
        <v>358</v>
      </c>
      <c r="K434" s="12" t="b">
        <v>0</v>
      </c>
      <c r="L434" s="12">
        <v>1</v>
      </c>
      <c r="M434" s="8">
        <v>2017</v>
      </c>
      <c r="N434" s="9">
        <v>1764000</v>
      </c>
      <c r="O434" s="13">
        <v>42451</v>
      </c>
      <c r="P434" s="13">
        <v>42451</v>
      </c>
    </row>
    <row r="435" spans="1:16" ht="14.25">
      <c r="A435" s="10">
        <v>2016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357</v>
      </c>
      <c r="J435" s="12" t="s">
        <v>358</v>
      </c>
      <c r="K435" s="12" t="b">
        <v>0</v>
      </c>
      <c r="L435" s="12">
        <v>5</v>
      </c>
      <c r="M435" s="8">
        <v>2021</v>
      </c>
      <c r="N435" s="9">
        <v>1891000</v>
      </c>
      <c r="O435" s="13">
        <v>42451</v>
      </c>
      <c r="P435" s="13">
        <v>42451</v>
      </c>
    </row>
    <row r="436" spans="1:16" ht="14.25">
      <c r="A436" s="10">
        <v>2016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357</v>
      </c>
      <c r="J436" s="12" t="s">
        <v>358</v>
      </c>
      <c r="K436" s="12" t="b">
        <v>0</v>
      </c>
      <c r="L436" s="12">
        <v>2</v>
      </c>
      <c r="M436" s="8">
        <v>2018</v>
      </c>
      <c r="N436" s="9">
        <v>1800000</v>
      </c>
      <c r="O436" s="13">
        <v>42451</v>
      </c>
      <c r="P436" s="13">
        <v>42451</v>
      </c>
    </row>
    <row r="437" spans="1:16" ht="14.25">
      <c r="A437" s="10">
        <v>2016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2</v>
      </c>
      <c r="M437" s="8">
        <v>2018</v>
      </c>
      <c r="N437" s="9">
        <v>0</v>
      </c>
      <c r="O437" s="13">
        <v>42451</v>
      </c>
      <c r="P437" s="13">
        <v>42451</v>
      </c>
    </row>
    <row r="438" spans="1:16" ht="14.25">
      <c r="A438" s="10">
        <v>2016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1</v>
      </c>
      <c r="M438" s="8">
        <v>2017</v>
      </c>
      <c r="N438" s="9">
        <v>0</v>
      </c>
      <c r="O438" s="13">
        <v>42451</v>
      </c>
      <c r="P438" s="13">
        <v>42451</v>
      </c>
    </row>
    <row r="439" spans="1:16" ht="14.25">
      <c r="A439" s="10">
        <v>2016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0</v>
      </c>
      <c r="M439" s="8">
        <v>2016</v>
      </c>
      <c r="N439" s="9">
        <v>0</v>
      </c>
      <c r="O439" s="13">
        <v>42451</v>
      </c>
      <c r="P439" s="13">
        <v>42451</v>
      </c>
    </row>
    <row r="440" spans="1:16" ht="14.25">
      <c r="A440" s="10">
        <v>2016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7</v>
      </c>
      <c r="M440" s="8">
        <v>2023</v>
      </c>
      <c r="N440" s="9">
        <v>0</v>
      </c>
      <c r="O440" s="13">
        <v>42451</v>
      </c>
      <c r="P440" s="13">
        <v>42451</v>
      </c>
    </row>
    <row r="441" spans="1:16" ht="14.25">
      <c r="A441" s="10">
        <v>2016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6</v>
      </c>
      <c r="M441" s="8">
        <v>2022</v>
      </c>
      <c r="N441" s="9">
        <v>0</v>
      </c>
      <c r="O441" s="13">
        <v>42451</v>
      </c>
      <c r="P441" s="13">
        <v>42451</v>
      </c>
    </row>
    <row r="442" spans="1:16" ht="14.25">
      <c r="A442" s="10">
        <v>2016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2021</v>
      </c>
      <c r="N442" s="9">
        <v>0</v>
      </c>
      <c r="O442" s="13">
        <v>42451</v>
      </c>
      <c r="P442" s="13">
        <v>42451</v>
      </c>
    </row>
    <row r="443" spans="1:16" ht="14.25">
      <c r="A443" s="10">
        <v>2016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2024</v>
      </c>
      <c r="N443" s="9">
        <v>0</v>
      </c>
      <c r="O443" s="13">
        <v>42451</v>
      </c>
      <c r="P443" s="13">
        <v>42451</v>
      </c>
    </row>
    <row r="444" spans="1:16" ht="14.25">
      <c r="A444" s="10">
        <v>2016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4</v>
      </c>
      <c r="M444" s="8">
        <v>2020</v>
      </c>
      <c r="N444" s="9">
        <v>0</v>
      </c>
      <c r="O444" s="13">
        <v>42451</v>
      </c>
      <c r="P444" s="13">
        <v>42451</v>
      </c>
    </row>
    <row r="445" spans="1:16" ht="14.25">
      <c r="A445" s="10">
        <v>2016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3</v>
      </c>
      <c r="M445" s="8">
        <v>2019</v>
      </c>
      <c r="N445" s="9">
        <v>0</v>
      </c>
      <c r="O445" s="13">
        <v>42451</v>
      </c>
      <c r="P445" s="13">
        <v>42451</v>
      </c>
    </row>
    <row r="446" spans="1:16" ht="14.25">
      <c r="A446" s="10">
        <v>2016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8</v>
      </c>
      <c r="M446" s="8">
        <v>2024</v>
      </c>
      <c r="N446" s="9">
        <v>0</v>
      </c>
      <c r="O446" s="13">
        <v>42451</v>
      </c>
      <c r="P446" s="13">
        <v>42451</v>
      </c>
    </row>
    <row r="447" spans="1:16" ht="14.25">
      <c r="A447" s="10">
        <v>2016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4</v>
      </c>
      <c r="M447" s="8">
        <v>2020</v>
      </c>
      <c r="N447" s="9">
        <v>0</v>
      </c>
      <c r="O447" s="13">
        <v>42451</v>
      </c>
      <c r="P447" s="13">
        <v>42451</v>
      </c>
    </row>
    <row r="448" spans="1:16" ht="14.25">
      <c r="A448" s="10">
        <v>2016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7</v>
      </c>
      <c r="M448" s="8">
        <v>2023</v>
      </c>
      <c r="N448" s="9">
        <v>0</v>
      </c>
      <c r="O448" s="13">
        <v>42451</v>
      </c>
      <c r="P448" s="13">
        <v>42451</v>
      </c>
    </row>
    <row r="449" spans="1:16" ht="14.25">
      <c r="A449" s="10">
        <v>2016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6</v>
      </c>
      <c r="M449" s="8">
        <v>2022</v>
      </c>
      <c r="N449" s="9">
        <v>0</v>
      </c>
      <c r="O449" s="13">
        <v>42451</v>
      </c>
      <c r="P449" s="13">
        <v>42451</v>
      </c>
    </row>
    <row r="450" spans="1:16" ht="14.25">
      <c r="A450" s="10">
        <v>2016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3</v>
      </c>
      <c r="M450" s="8">
        <v>2019</v>
      </c>
      <c r="N450" s="9">
        <v>9989000</v>
      </c>
      <c r="O450" s="13">
        <v>42451</v>
      </c>
      <c r="P450" s="13">
        <v>42451</v>
      </c>
    </row>
    <row r="451" spans="1:16" ht="14.25">
      <c r="A451" s="10">
        <v>2016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42451</v>
      </c>
      <c r="P451" s="13">
        <v>42451</v>
      </c>
    </row>
    <row r="452" spans="1:16" ht="14.25">
      <c r="A452" s="10">
        <v>2016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1</v>
      </c>
      <c r="M452" s="8">
        <v>2017</v>
      </c>
      <c r="N452" s="9">
        <v>9602000</v>
      </c>
      <c r="O452" s="13">
        <v>42451</v>
      </c>
      <c r="P452" s="13">
        <v>42451</v>
      </c>
    </row>
    <row r="453" spans="1:16" ht="14.25">
      <c r="A453" s="10">
        <v>2016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2</v>
      </c>
      <c r="M453" s="8">
        <v>2018</v>
      </c>
      <c r="N453" s="9">
        <v>9794000</v>
      </c>
      <c r="O453" s="13">
        <v>42451</v>
      </c>
      <c r="P453" s="13">
        <v>42451</v>
      </c>
    </row>
    <row r="454" spans="1:16" ht="14.25">
      <c r="A454" s="10">
        <v>2016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0</v>
      </c>
      <c r="M454" s="8">
        <v>2016</v>
      </c>
      <c r="N454" s="9">
        <v>9413284</v>
      </c>
      <c r="O454" s="13">
        <v>42451</v>
      </c>
      <c r="P454" s="13">
        <v>42451</v>
      </c>
    </row>
    <row r="455" spans="1:16" ht="14.25">
      <c r="A455" s="10">
        <v>2016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4</v>
      </c>
      <c r="M455" s="8">
        <v>2020</v>
      </c>
      <c r="N455" s="9">
        <v>0</v>
      </c>
      <c r="O455" s="13">
        <v>42451</v>
      </c>
      <c r="P455" s="13">
        <v>42451</v>
      </c>
    </row>
    <row r="456" spans="1:16" ht="14.25">
      <c r="A456" s="10">
        <v>2016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3</v>
      </c>
      <c r="M456" s="8">
        <v>2019</v>
      </c>
      <c r="N456" s="9">
        <v>0</v>
      </c>
      <c r="O456" s="13">
        <v>42451</v>
      </c>
      <c r="P456" s="13">
        <v>42451</v>
      </c>
    </row>
    <row r="457" spans="1:16" ht="14.25">
      <c r="A457" s="10">
        <v>2016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6</v>
      </c>
      <c r="M457" s="8">
        <v>2022</v>
      </c>
      <c r="N457" s="9">
        <v>0</v>
      </c>
      <c r="O457" s="13">
        <v>42451</v>
      </c>
      <c r="P457" s="13">
        <v>42451</v>
      </c>
    </row>
    <row r="458" spans="1:16" ht="14.25">
      <c r="A458" s="10">
        <v>2016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8</v>
      </c>
      <c r="M458" s="8">
        <v>2024</v>
      </c>
      <c r="N458" s="9">
        <v>0</v>
      </c>
      <c r="O458" s="13">
        <v>42451</v>
      </c>
      <c r="P458" s="13">
        <v>42451</v>
      </c>
    </row>
    <row r="459" spans="1:16" ht="14.25">
      <c r="A459" s="10">
        <v>2016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0</v>
      </c>
      <c r="M459" s="8">
        <v>2016</v>
      </c>
      <c r="N459" s="9">
        <v>0</v>
      </c>
      <c r="O459" s="13">
        <v>42451</v>
      </c>
      <c r="P459" s="13">
        <v>42451</v>
      </c>
    </row>
    <row r="460" spans="1:16" ht="14.25">
      <c r="A460" s="10">
        <v>2016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1</v>
      </c>
      <c r="M460" s="8">
        <v>2017</v>
      </c>
      <c r="N460" s="9">
        <v>0</v>
      </c>
      <c r="O460" s="13">
        <v>42451</v>
      </c>
      <c r="P460" s="13">
        <v>42451</v>
      </c>
    </row>
    <row r="461" spans="1:16" ht="14.25">
      <c r="A461" s="10">
        <v>2016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5</v>
      </c>
      <c r="M461" s="8">
        <v>2021</v>
      </c>
      <c r="N461" s="9">
        <v>0</v>
      </c>
      <c r="O461" s="13">
        <v>42451</v>
      </c>
      <c r="P461" s="13">
        <v>42451</v>
      </c>
    </row>
    <row r="462" spans="1:16" ht="14.25">
      <c r="A462" s="10">
        <v>2016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2</v>
      </c>
      <c r="M462" s="8">
        <v>2018</v>
      </c>
      <c r="N462" s="9">
        <v>0</v>
      </c>
      <c r="O462" s="13">
        <v>42451</v>
      </c>
      <c r="P462" s="13">
        <v>42451</v>
      </c>
    </row>
    <row r="463" spans="1:16" ht="14.25">
      <c r="A463" s="10">
        <v>2016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10</v>
      </c>
      <c r="H463" s="12">
        <v>1</v>
      </c>
      <c r="I463" s="12" t="s">
        <v>480</v>
      </c>
      <c r="J463" s="12" t="s">
        <v>24</v>
      </c>
      <c r="K463" s="12" t="b">
        <v>1</v>
      </c>
      <c r="L463" s="12">
        <v>1</v>
      </c>
      <c r="M463" s="8">
        <v>2017</v>
      </c>
      <c r="N463" s="9">
        <v>25667000</v>
      </c>
      <c r="O463" s="13">
        <v>42451</v>
      </c>
      <c r="P463" s="13">
        <v>42451</v>
      </c>
    </row>
    <row r="464" spans="1:16" ht="14.25">
      <c r="A464" s="10">
        <v>2016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10</v>
      </c>
      <c r="H464" s="12">
        <v>1</v>
      </c>
      <c r="I464" s="12" t="s">
        <v>480</v>
      </c>
      <c r="J464" s="12" t="s">
        <v>24</v>
      </c>
      <c r="K464" s="12" t="b">
        <v>1</v>
      </c>
      <c r="L464" s="12">
        <v>6</v>
      </c>
      <c r="M464" s="8">
        <v>2022</v>
      </c>
      <c r="N464" s="9">
        <v>27786000</v>
      </c>
      <c r="O464" s="13">
        <v>42451</v>
      </c>
      <c r="P464" s="13">
        <v>42451</v>
      </c>
    </row>
    <row r="465" spans="1:16" ht="14.25">
      <c r="A465" s="10">
        <v>2016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10</v>
      </c>
      <c r="H465" s="12">
        <v>1</v>
      </c>
      <c r="I465" s="12" t="s">
        <v>480</v>
      </c>
      <c r="J465" s="12" t="s">
        <v>24</v>
      </c>
      <c r="K465" s="12" t="b">
        <v>1</v>
      </c>
      <c r="L465" s="12">
        <v>4</v>
      </c>
      <c r="M465" s="8">
        <v>2020</v>
      </c>
      <c r="N465" s="9">
        <v>27238000</v>
      </c>
      <c r="O465" s="13">
        <v>42451</v>
      </c>
      <c r="P465" s="13">
        <v>42451</v>
      </c>
    </row>
    <row r="466" spans="1:16" ht="14.25">
      <c r="A466" s="10">
        <v>2016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10</v>
      </c>
      <c r="H466" s="12">
        <v>1</v>
      </c>
      <c r="I466" s="12" t="s">
        <v>480</v>
      </c>
      <c r="J466" s="12" t="s">
        <v>24</v>
      </c>
      <c r="K466" s="12" t="b">
        <v>1</v>
      </c>
      <c r="L466" s="12">
        <v>8</v>
      </c>
      <c r="M466" s="8">
        <v>2024</v>
      </c>
      <c r="N466" s="9">
        <v>28345000</v>
      </c>
      <c r="O466" s="13">
        <v>42451</v>
      </c>
      <c r="P466" s="13">
        <v>42451</v>
      </c>
    </row>
    <row r="467" spans="1:16" ht="14.25">
      <c r="A467" s="10">
        <v>2016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10</v>
      </c>
      <c r="H467" s="12">
        <v>1</v>
      </c>
      <c r="I467" s="12" t="s">
        <v>480</v>
      </c>
      <c r="J467" s="12" t="s">
        <v>24</v>
      </c>
      <c r="K467" s="12" t="b">
        <v>1</v>
      </c>
      <c r="L467" s="12">
        <v>7</v>
      </c>
      <c r="M467" s="8">
        <v>2023</v>
      </c>
      <c r="N467" s="9">
        <v>28064000</v>
      </c>
      <c r="O467" s="13">
        <v>42451</v>
      </c>
      <c r="P467" s="13">
        <v>42451</v>
      </c>
    </row>
    <row r="468" spans="1:16" ht="14.25">
      <c r="A468" s="10">
        <v>2016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480</v>
      </c>
      <c r="J468" s="12" t="s">
        <v>24</v>
      </c>
      <c r="K468" s="12" t="b">
        <v>1</v>
      </c>
      <c r="L468" s="12">
        <v>5</v>
      </c>
      <c r="M468" s="8">
        <v>2021</v>
      </c>
      <c r="N468" s="9">
        <v>27510000</v>
      </c>
      <c r="O468" s="13">
        <v>42451</v>
      </c>
      <c r="P468" s="13">
        <v>42451</v>
      </c>
    </row>
    <row r="469" spans="1:16" ht="14.25">
      <c r="A469" s="10">
        <v>2016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480</v>
      </c>
      <c r="J469" s="12" t="s">
        <v>24</v>
      </c>
      <c r="K469" s="12" t="b">
        <v>1</v>
      </c>
      <c r="L469" s="12">
        <v>3</v>
      </c>
      <c r="M469" s="8">
        <v>2019</v>
      </c>
      <c r="N469" s="9">
        <v>26704000</v>
      </c>
      <c r="O469" s="13">
        <v>42451</v>
      </c>
      <c r="P469" s="13">
        <v>42451</v>
      </c>
    </row>
    <row r="470" spans="1:16" ht="14.25">
      <c r="A470" s="10">
        <v>2016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480</v>
      </c>
      <c r="J470" s="12" t="s">
        <v>24</v>
      </c>
      <c r="K470" s="12" t="b">
        <v>1</v>
      </c>
      <c r="L470" s="12">
        <v>2</v>
      </c>
      <c r="M470" s="8">
        <v>2018</v>
      </c>
      <c r="N470" s="9">
        <v>26180000</v>
      </c>
      <c r="O470" s="13">
        <v>42451</v>
      </c>
      <c r="P470" s="13">
        <v>42451</v>
      </c>
    </row>
    <row r="471" spans="1:16" ht="14.25">
      <c r="A471" s="10">
        <v>2016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480</v>
      </c>
      <c r="J471" s="12" t="s">
        <v>24</v>
      </c>
      <c r="K471" s="12" t="b">
        <v>1</v>
      </c>
      <c r="L471" s="12">
        <v>0</v>
      </c>
      <c r="M471" s="8">
        <v>2016</v>
      </c>
      <c r="N471" s="9">
        <v>27734548</v>
      </c>
      <c r="O471" s="13">
        <v>42451</v>
      </c>
      <c r="P471" s="13">
        <v>42451</v>
      </c>
    </row>
    <row r="472" spans="1:16" ht="14.25">
      <c r="A472" s="10">
        <v>2016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4</v>
      </c>
      <c r="M472" s="8">
        <v>2020</v>
      </c>
      <c r="N472" s="9">
        <v>2465513.4</v>
      </c>
      <c r="O472" s="13">
        <v>42451</v>
      </c>
      <c r="P472" s="13">
        <v>42451</v>
      </c>
    </row>
    <row r="473" spans="1:16" ht="14.25">
      <c r="A473" s="10">
        <v>2016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5</v>
      </c>
      <c r="M473" s="8">
        <v>2021</v>
      </c>
      <c r="N473" s="9">
        <v>1802098.52</v>
      </c>
      <c r="O473" s="13">
        <v>42451</v>
      </c>
      <c r="P473" s="13">
        <v>42451</v>
      </c>
    </row>
    <row r="474" spans="1:16" ht="14.25">
      <c r="A474" s="10">
        <v>2016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2</v>
      </c>
      <c r="M474" s="8">
        <v>2018</v>
      </c>
      <c r="N474" s="9">
        <v>3986343.16</v>
      </c>
      <c r="O474" s="13">
        <v>42451</v>
      </c>
      <c r="P474" s="13">
        <v>42451</v>
      </c>
    </row>
    <row r="475" spans="1:16" ht="14.25">
      <c r="A475" s="10">
        <v>2016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0</v>
      </c>
      <c r="M475" s="8">
        <v>2016</v>
      </c>
      <c r="N475" s="9">
        <v>5930721.49</v>
      </c>
      <c r="O475" s="13">
        <v>42451</v>
      </c>
      <c r="P475" s="13">
        <v>42451</v>
      </c>
    </row>
    <row r="476" spans="1:16" ht="14.25">
      <c r="A476" s="10">
        <v>2016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2019</v>
      </c>
      <c r="N476" s="9">
        <v>3128928.28</v>
      </c>
      <c r="O476" s="13">
        <v>42451</v>
      </c>
      <c r="P476" s="13">
        <v>42451</v>
      </c>
    </row>
    <row r="477" spans="1:16" ht="14.25">
      <c r="A477" s="10">
        <v>2016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7</v>
      </c>
      <c r="M477" s="8">
        <v>2023</v>
      </c>
      <c r="N477" s="9">
        <v>553068.76</v>
      </c>
      <c r="O477" s="13">
        <v>42451</v>
      </c>
      <c r="P477" s="13">
        <v>42451</v>
      </c>
    </row>
    <row r="478" spans="1:16" ht="14.25">
      <c r="A478" s="10">
        <v>2016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1</v>
      </c>
      <c r="M478" s="8">
        <v>2017</v>
      </c>
      <c r="N478" s="9">
        <v>4933722.61</v>
      </c>
      <c r="O478" s="13">
        <v>42451</v>
      </c>
      <c r="P478" s="13">
        <v>42451</v>
      </c>
    </row>
    <row r="479" spans="1:16" ht="14.25">
      <c r="A479" s="10">
        <v>2016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6</v>
      </c>
      <c r="M479" s="8">
        <v>2022</v>
      </c>
      <c r="N479" s="9">
        <v>1138683.64</v>
      </c>
      <c r="O479" s="13">
        <v>42451</v>
      </c>
      <c r="P479" s="13">
        <v>42451</v>
      </c>
    </row>
    <row r="480" spans="1:16" ht="14.25">
      <c r="A480" s="10">
        <v>2016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8</v>
      </c>
      <c r="M480" s="8">
        <v>2024</v>
      </c>
      <c r="N480" s="9">
        <v>0</v>
      </c>
      <c r="O480" s="13">
        <v>42451</v>
      </c>
      <c r="P480" s="13">
        <v>42451</v>
      </c>
    </row>
    <row r="481" spans="1:16" ht="14.25">
      <c r="A481" s="10">
        <v>2016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2</v>
      </c>
      <c r="M481" s="8">
        <v>2018</v>
      </c>
      <c r="N481" s="9">
        <v>0</v>
      </c>
      <c r="O481" s="13">
        <v>42451</v>
      </c>
      <c r="P481" s="13">
        <v>42451</v>
      </c>
    </row>
    <row r="482" spans="1:16" ht="14.25">
      <c r="A482" s="10">
        <v>2016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8</v>
      </c>
      <c r="M482" s="8">
        <v>2024</v>
      </c>
      <c r="N482" s="9">
        <v>0</v>
      </c>
      <c r="O482" s="13">
        <v>42451</v>
      </c>
      <c r="P482" s="13">
        <v>42451</v>
      </c>
    </row>
    <row r="483" spans="1:16" ht="14.25">
      <c r="A483" s="10">
        <v>2016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4</v>
      </c>
      <c r="M483" s="8">
        <v>2020</v>
      </c>
      <c r="N483" s="9">
        <v>0</v>
      </c>
      <c r="O483" s="13">
        <v>42451</v>
      </c>
      <c r="P483" s="13">
        <v>42451</v>
      </c>
    </row>
    <row r="484" spans="1:16" ht="14.25">
      <c r="A484" s="10">
        <v>2016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7</v>
      </c>
      <c r="M484" s="8">
        <v>2023</v>
      </c>
      <c r="N484" s="9">
        <v>0</v>
      </c>
      <c r="O484" s="13">
        <v>42451</v>
      </c>
      <c r="P484" s="13">
        <v>42451</v>
      </c>
    </row>
    <row r="485" spans="1:16" ht="14.25">
      <c r="A485" s="10">
        <v>2016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1</v>
      </c>
      <c r="M485" s="8">
        <v>2017</v>
      </c>
      <c r="N485" s="9">
        <v>0</v>
      </c>
      <c r="O485" s="13">
        <v>42451</v>
      </c>
      <c r="P485" s="13">
        <v>42451</v>
      </c>
    </row>
    <row r="486" spans="1:16" ht="14.25">
      <c r="A486" s="10">
        <v>2016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3</v>
      </c>
      <c r="M486" s="8">
        <v>2019</v>
      </c>
      <c r="N486" s="9">
        <v>0</v>
      </c>
      <c r="O486" s="13">
        <v>42451</v>
      </c>
      <c r="P486" s="13">
        <v>42451</v>
      </c>
    </row>
    <row r="487" spans="1:16" ht="14.25">
      <c r="A487" s="10">
        <v>2016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5</v>
      </c>
      <c r="M487" s="8">
        <v>2021</v>
      </c>
      <c r="N487" s="9">
        <v>0</v>
      </c>
      <c r="O487" s="13">
        <v>42451</v>
      </c>
      <c r="P487" s="13">
        <v>42451</v>
      </c>
    </row>
    <row r="488" spans="1:16" ht="14.25">
      <c r="A488" s="10">
        <v>2016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0</v>
      </c>
      <c r="M488" s="8">
        <v>2016</v>
      </c>
      <c r="N488" s="9">
        <v>11080</v>
      </c>
      <c r="O488" s="13">
        <v>42451</v>
      </c>
      <c r="P488" s="13">
        <v>42451</v>
      </c>
    </row>
    <row r="489" spans="1:16" ht="14.25">
      <c r="A489" s="10">
        <v>2016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6</v>
      </c>
      <c r="M489" s="8">
        <v>2022</v>
      </c>
      <c r="N489" s="9">
        <v>0</v>
      </c>
      <c r="O489" s="13">
        <v>42451</v>
      </c>
      <c r="P489" s="13">
        <v>42451</v>
      </c>
    </row>
    <row r="490" spans="1:16" ht="14.25">
      <c r="A490" s="10">
        <v>2016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3</v>
      </c>
      <c r="M490" s="8">
        <v>2019</v>
      </c>
      <c r="N490" s="9">
        <v>0</v>
      </c>
      <c r="O490" s="13">
        <v>42451</v>
      </c>
      <c r="P490" s="13">
        <v>42451</v>
      </c>
    </row>
    <row r="491" spans="1:16" ht="14.25">
      <c r="A491" s="10">
        <v>2016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42451</v>
      </c>
      <c r="P491" s="13">
        <v>42451</v>
      </c>
    </row>
    <row r="492" spans="1:16" ht="14.25">
      <c r="A492" s="10">
        <v>2016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0</v>
      </c>
      <c r="M492" s="8">
        <v>2016</v>
      </c>
      <c r="N492" s="9">
        <v>0</v>
      </c>
      <c r="O492" s="13">
        <v>42451</v>
      </c>
      <c r="P492" s="13">
        <v>42451</v>
      </c>
    </row>
    <row r="493" spans="1:16" ht="14.25">
      <c r="A493" s="10">
        <v>2016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4</v>
      </c>
      <c r="M493" s="8">
        <v>2020</v>
      </c>
      <c r="N493" s="9">
        <v>0</v>
      </c>
      <c r="O493" s="13">
        <v>42451</v>
      </c>
      <c r="P493" s="13">
        <v>42451</v>
      </c>
    </row>
    <row r="494" spans="1:16" ht="14.25">
      <c r="A494" s="10">
        <v>2016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7</v>
      </c>
      <c r="M494" s="8">
        <v>2023</v>
      </c>
      <c r="N494" s="9">
        <v>0</v>
      </c>
      <c r="O494" s="13">
        <v>42451</v>
      </c>
      <c r="P494" s="13">
        <v>42451</v>
      </c>
    </row>
    <row r="495" spans="1:16" ht="14.25">
      <c r="A495" s="10">
        <v>2016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1</v>
      </c>
      <c r="M495" s="8">
        <v>2017</v>
      </c>
      <c r="N495" s="9">
        <v>0</v>
      </c>
      <c r="O495" s="13">
        <v>42451</v>
      </c>
      <c r="P495" s="13">
        <v>42451</v>
      </c>
    </row>
    <row r="496" spans="1:16" ht="14.25">
      <c r="A496" s="10">
        <v>2016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8</v>
      </c>
      <c r="M496" s="8">
        <v>2024</v>
      </c>
      <c r="N496" s="9">
        <v>0</v>
      </c>
      <c r="O496" s="13">
        <v>42451</v>
      </c>
      <c r="P496" s="13">
        <v>42451</v>
      </c>
    </row>
    <row r="497" spans="1:16" ht="14.25">
      <c r="A497" s="10">
        <v>2016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5</v>
      </c>
      <c r="M497" s="8">
        <v>2021</v>
      </c>
      <c r="N497" s="9">
        <v>0</v>
      </c>
      <c r="O497" s="13">
        <v>42451</v>
      </c>
      <c r="P497" s="13">
        <v>42451</v>
      </c>
    </row>
    <row r="498" spans="1:16" ht="14.25">
      <c r="A498" s="10">
        <v>2016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6</v>
      </c>
      <c r="M498" s="8">
        <v>2022</v>
      </c>
      <c r="N498" s="9">
        <v>0</v>
      </c>
      <c r="O498" s="13">
        <v>42451</v>
      </c>
      <c r="P498" s="13">
        <v>42451</v>
      </c>
    </row>
    <row r="499" spans="1:16" ht="14.25">
      <c r="A499" s="10">
        <v>2016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764</v>
      </c>
      <c r="H499" s="12" t="s">
        <v>379</v>
      </c>
      <c r="I499" s="12"/>
      <c r="J499" s="12" t="s">
        <v>380</v>
      </c>
      <c r="K499" s="12" t="b">
        <v>1</v>
      </c>
      <c r="L499" s="12">
        <v>3</v>
      </c>
      <c r="M499" s="8">
        <v>2019</v>
      </c>
      <c r="N499" s="9">
        <v>0</v>
      </c>
      <c r="O499" s="13">
        <v>42451</v>
      </c>
      <c r="P499" s="13">
        <v>42451</v>
      </c>
    </row>
    <row r="500" spans="1:16" ht="14.25">
      <c r="A500" s="10">
        <v>2016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764</v>
      </c>
      <c r="H500" s="12" t="s">
        <v>379</v>
      </c>
      <c r="I500" s="12"/>
      <c r="J500" s="12" t="s">
        <v>380</v>
      </c>
      <c r="K500" s="12" t="b">
        <v>1</v>
      </c>
      <c r="L500" s="12">
        <v>7</v>
      </c>
      <c r="M500" s="8">
        <v>2023</v>
      </c>
      <c r="N500" s="9">
        <v>0</v>
      </c>
      <c r="O500" s="13">
        <v>42451</v>
      </c>
      <c r="P500" s="13">
        <v>42451</v>
      </c>
    </row>
    <row r="501" spans="1:16" ht="14.25">
      <c r="A501" s="10">
        <v>2016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764</v>
      </c>
      <c r="H501" s="12" t="s">
        <v>379</v>
      </c>
      <c r="I501" s="12"/>
      <c r="J501" s="12" t="s">
        <v>380</v>
      </c>
      <c r="K501" s="12" t="b">
        <v>1</v>
      </c>
      <c r="L501" s="12">
        <v>2</v>
      </c>
      <c r="M501" s="8">
        <v>2018</v>
      </c>
      <c r="N501" s="9">
        <v>0</v>
      </c>
      <c r="O501" s="13">
        <v>42451</v>
      </c>
      <c r="P501" s="13">
        <v>42451</v>
      </c>
    </row>
    <row r="502" spans="1:16" ht="14.25">
      <c r="A502" s="10">
        <v>2016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764</v>
      </c>
      <c r="H502" s="12" t="s">
        <v>379</v>
      </c>
      <c r="I502" s="12"/>
      <c r="J502" s="12" t="s">
        <v>380</v>
      </c>
      <c r="K502" s="12" t="b">
        <v>1</v>
      </c>
      <c r="L502" s="12">
        <v>4</v>
      </c>
      <c r="M502" s="8">
        <v>2020</v>
      </c>
      <c r="N502" s="9">
        <v>0</v>
      </c>
      <c r="O502" s="13">
        <v>42451</v>
      </c>
      <c r="P502" s="13">
        <v>42451</v>
      </c>
    </row>
    <row r="503" spans="1:16" ht="14.25">
      <c r="A503" s="10">
        <v>2016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764</v>
      </c>
      <c r="H503" s="12" t="s">
        <v>379</v>
      </c>
      <c r="I503" s="12"/>
      <c r="J503" s="12" t="s">
        <v>380</v>
      </c>
      <c r="K503" s="12" t="b">
        <v>1</v>
      </c>
      <c r="L503" s="12">
        <v>6</v>
      </c>
      <c r="M503" s="8">
        <v>2022</v>
      </c>
      <c r="N503" s="9">
        <v>0</v>
      </c>
      <c r="O503" s="13">
        <v>42451</v>
      </c>
      <c r="P503" s="13">
        <v>42451</v>
      </c>
    </row>
    <row r="504" spans="1:16" ht="14.25">
      <c r="A504" s="10">
        <v>2016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764</v>
      </c>
      <c r="H504" s="12" t="s">
        <v>379</v>
      </c>
      <c r="I504" s="12"/>
      <c r="J504" s="12" t="s">
        <v>380</v>
      </c>
      <c r="K504" s="12" t="b">
        <v>1</v>
      </c>
      <c r="L504" s="12">
        <v>8</v>
      </c>
      <c r="M504" s="8">
        <v>2024</v>
      </c>
      <c r="N504" s="9">
        <v>0</v>
      </c>
      <c r="O504" s="13">
        <v>42451</v>
      </c>
      <c r="P504" s="13">
        <v>42451</v>
      </c>
    </row>
    <row r="505" spans="1:16" ht="14.25">
      <c r="A505" s="10">
        <v>2016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764</v>
      </c>
      <c r="H505" s="12" t="s">
        <v>379</v>
      </c>
      <c r="I505" s="12"/>
      <c r="J505" s="12" t="s">
        <v>380</v>
      </c>
      <c r="K505" s="12" t="b">
        <v>1</v>
      </c>
      <c r="L505" s="12">
        <v>5</v>
      </c>
      <c r="M505" s="8">
        <v>2021</v>
      </c>
      <c r="N505" s="9">
        <v>0</v>
      </c>
      <c r="O505" s="13">
        <v>42451</v>
      </c>
      <c r="P505" s="13">
        <v>42451</v>
      </c>
    </row>
    <row r="506" spans="1:16" ht="14.25">
      <c r="A506" s="10">
        <v>2016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764</v>
      </c>
      <c r="H506" s="12" t="s">
        <v>379</v>
      </c>
      <c r="I506" s="12"/>
      <c r="J506" s="12" t="s">
        <v>380</v>
      </c>
      <c r="K506" s="12" t="b">
        <v>1</v>
      </c>
      <c r="L506" s="12">
        <v>1</v>
      </c>
      <c r="M506" s="8">
        <v>2017</v>
      </c>
      <c r="N506" s="9">
        <v>0</v>
      </c>
      <c r="O506" s="13">
        <v>42451</v>
      </c>
      <c r="P506" s="13">
        <v>42451</v>
      </c>
    </row>
    <row r="507" spans="1:16" ht="14.25">
      <c r="A507" s="10">
        <v>2016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764</v>
      </c>
      <c r="H507" s="12" t="s">
        <v>379</v>
      </c>
      <c r="I507" s="12"/>
      <c r="J507" s="12" t="s">
        <v>380</v>
      </c>
      <c r="K507" s="12" t="b">
        <v>1</v>
      </c>
      <c r="L507" s="12">
        <v>0</v>
      </c>
      <c r="M507" s="8">
        <v>2016</v>
      </c>
      <c r="N507" s="9">
        <v>0</v>
      </c>
      <c r="O507" s="13">
        <v>42451</v>
      </c>
      <c r="P507" s="13">
        <v>42451</v>
      </c>
    </row>
    <row r="508" spans="1:16" ht="14.25">
      <c r="A508" s="10">
        <v>2016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768</v>
      </c>
      <c r="H508" s="12" t="s">
        <v>386</v>
      </c>
      <c r="I508" s="12"/>
      <c r="J508" s="12" t="s">
        <v>380</v>
      </c>
      <c r="K508" s="12" t="b">
        <v>1</v>
      </c>
      <c r="L508" s="12">
        <v>7</v>
      </c>
      <c r="M508" s="8">
        <v>2023</v>
      </c>
      <c r="N508" s="9">
        <v>0</v>
      </c>
      <c r="O508" s="13">
        <v>42451</v>
      </c>
      <c r="P508" s="13">
        <v>42451</v>
      </c>
    </row>
    <row r="509" spans="1:16" ht="14.25">
      <c r="A509" s="10">
        <v>2016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768</v>
      </c>
      <c r="H509" s="12" t="s">
        <v>386</v>
      </c>
      <c r="I509" s="12"/>
      <c r="J509" s="12" t="s">
        <v>380</v>
      </c>
      <c r="K509" s="12" t="b">
        <v>1</v>
      </c>
      <c r="L509" s="12">
        <v>1</v>
      </c>
      <c r="M509" s="8">
        <v>2017</v>
      </c>
      <c r="N509" s="9">
        <v>0</v>
      </c>
      <c r="O509" s="13">
        <v>42451</v>
      </c>
      <c r="P509" s="13">
        <v>42451</v>
      </c>
    </row>
    <row r="510" spans="1:16" ht="14.25">
      <c r="A510" s="10">
        <v>2016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768</v>
      </c>
      <c r="H510" s="12" t="s">
        <v>386</v>
      </c>
      <c r="I510" s="12"/>
      <c r="J510" s="12" t="s">
        <v>380</v>
      </c>
      <c r="K510" s="12" t="b">
        <v>1</v>
      </c>
      <c r="L510" s="12">
        <v>3</v>
      </c>
      <c r="M510" s="8">
        <v>2019</v>
      </c>
      <c r="N510" s="9">
        <v>0</v>
      </c>
      <c r="O510" s="13">
        <v>42451</v>
      </c>
      <c r="P510" s="13">
        <v>42451</v>
      </c>
    </row>
    <row r="511" spans="1:16" ht="14.25">
      <c r="A511" s="10">
        <v>2016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768</v>
      </c>
      <c r="H511" s="12" t="s">
        <v>386</v>
      </c>
      <c r="I511" s="12"/>
      <c r="J511" s="12" t="s">
        <v>380</v>
      </c>
      <c r="K511" s="12" t="b">
        <v>1</v>
      </c>
      <c r="L511" s="12">
        <v>8</v>
      </c>
      <c r="M511" s="8">
        <v>2024</v>
      </c>
      <c r="N511" s="9">
        <v>0</v>
      </c>
      <c r="O511" s="13">
        <v>42451</v>
      </c>
      <c r="P511" s="13">
        <v>42451</v>
      </c>
    </row>
    <row r="512" spans="1:16" ht="14.25">
      <c r="A512" s="10">
        <v>2016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768</v>
      </c>
      <c r="H512" s="12" t="s">
        <v>386</v>
      </c>
      <c r="I512" s="12"/>
      <c r="J512" s="12" t="s">
        <v>380</v>
      </c>
      <c r="K512" s="12" t="b">
        <v>1</v>
      </c>
      <c r="L512" s="12">
        <v>6</v>
      </c>
      <c r="M512" s="8">
        <v>2022</v>
      </c>
      <c r="N512" s="9">
        <v>0</v>
      </c>
      <c r="O512" s="13">
        <v>42451</v>
      </c>
      <c r="P512" s="13">
        <v>42451</v>
      </c>
    </row>
    <row r="513" spans="1:16" ht="14.25">
      <c r="A513" s="10">
        <v>2016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768</v>
      </c>
      <c r="H513" s="12" t="s">
        <v>386</v>
      </c>
      <c r="I513" s="12"/>
      <c r="J513" s="12" t="s">
        <v>380</v>
      </c>
      <c r="K513" s="12" t="b">
        <v>1</v>
      </c>
      <c r="L513" s="12">
        <v>0</v>
      </c>
      <c r="M513" s="8">
        <v>2016</v>
      </c>
      <c r="N513" s="9">
        <v>0</v>
      </c>
      <c r="O513" s="13">
        <v>42451</v>
      </c>
      <c r="P513" s="13">
        <v>42451</v>
      </c>
    </row>
    <row r="514" spans="1:16" ht="14.25">
      <c r="A514" s="10">
        <v>2016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768</v>
      </c>
      <c r="H514" s="12" t="s">
        <v>386</v>
      </c>
      <c r="I514" s="12"/>
      <c r="J514" s="12" t="s">
        <v>380</v>
      </c>
      <c r="K514" s="12" t="b">
        <v>1</v>
      </c>
      <c r="L514" s="12">
        <v>4</v>
      </c>
      <c r="M514" s="8">
        <v>2020</v>
      </c>
      <c r="N514" s="9">
        <v>0</v>
      </c>
      <c r="O514" s="13">
        <v>42451</v>
      </c>
      <c r="P514" s="13">
        <v>42451</v>
      </c>
    </row>
    <row r="515" spans="1:16" ht="14.25">
      <c r="A515" s="10">
        <v>2016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768</v>
      </c>
      <c r="H515" s="12" t="s">
        <v>386</v>
      </c>
      <c r="I515" s="12"/>
      <c r="J515" s="12" t="s">
        <v>380</v>
      </c>
      <c r="K515" s="12" t="b">
        <v>1</v>
      </c>
      <c r="L515" s="12">
        <v>2</v>
      </c>
      <c r="M515" s="8">
        <v>2018</v>
      </c>
      <c r="N515" s="9">
        <v>0</v>
      </c>
      <c r="O515" s="13">
        <v>42451</v>
      </c>
      <c r="P515" s="13">
        <v>42451</v>
      </c>
    </row>
    <row r="516" spans="1:16" ht="14.25">
      <c r="A516" s="10">
        <v>2016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768</v>
      </c>
      <c r="H516" s="12" t="s">
        <v>386</v>
      </c>
      <c r="I516" s="12"/>
      <c r="J516" s="12" t="s">
        <v>380</v>
      </c>
      <c r="K516" s="12" t="b">
        <v>1</v>
      </c>
      <c r="L516" s="12">
        <v>5</v>
      </c>
      <c r="M516" s="8">
        <v>2021</v>
      </c>
      <c r="N516" s="9">
        <v>0</v>
      </c>
      <c r="O516" s="13">
        <v>42451</v>
      </c>
      <c r="P516" s="13">
        <v>42451</v>
      </c>
    </row>
    <row r="517" spans="1:16" ht="14.25">
      <c r="A517" s="10">
        <v>2016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5</v>
      </c>
      <c r="M517" s="8">
        <v>2021</v>
      </c>
      <c r="N517" s="9">
        <v>0</v>
      </c>
      <c r="O517" s="13">
        <v>42451</v>
      </c>
      <c r="P517" s="13">
        <v>42451</v>
      </c>
    </row>
    <row r="518" spans="1:16" ht="14.25">
      <c r="A518" s="10">
        <v>2016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1</v>
      </c>
      <c r="M518" s="8">
        <v>2017</v>
      </c>
      <c r="N518" s="9">
        <v>0</v>
      </c>
      <c r="O518" s="13">
        <v>42451</v>
      </c>
      <c r="P518" s="13">
        <v>42451</v>
      </c>
    </row>
    <row r="519" spans="1:16" ht="14.25">
      <c r="A519" s="10">
        <v>2016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7</v>
      </c>
      <c r="M519" s="8">
        <v>2023</v>
      </c>
      <c r="N519" s="9">
        <v>0</v>
      </c>
      <c r="O519" s="13">
        <v>42451</v>
      </c>
      <c r="P519" s="13">
        <v>42451</v>
      </c>
    </row>
    <row r="520" spans="1:16" ht="14.25">
      <c r="A520" s="10">
        <v>2016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8</v>
      </c>
      <c r="M520" s="8">
        <v>2024</v>
      </c>
      <c r="N520" s="9">
        <v>0</v>
      </c>
      <c r="O520" s="13">
        <v>42451</v>
      </c>
      <c r="P520" s="13">
        <v>42451</v>
      </c>
    </row>
    <row r="521" spans="1:16" ht="14.25">
      <c r="A521" s="10">
        <v>2016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2</v>
      </c>
      <c r="M521" s="8">
        <v>2018</v>
      </c>
      <c r="N521" s="9">
        <v>0</v>
      </c>
      <c r="O521" s="13">
        <v>42451</v>
      </c>
      <c r="P521" s="13">
        <v>42451</v>
      </c>
    </row>
    <row r="522" spans="1:16" ht="14.25">
      <c r="A522" s="10">
        <v>2016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0</v>
      </c>
      <c r="M522" s="8">
        <v>2016</v>
      </c>
      <c r="N522" s="9">
        <v>0</v>
      </c>
      <c r="O522" s="13">
        <v>42451</v>
      </c>
      <c r="P522" s="13">
        <v>42451</v>
      </c>
    </row>
    <row r="523" spans="1:16" ht="14.25">
      <c r="A523" s="10">
        <v>2016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3</v>
      </c>
      <c r="M523" s="8">
        <v>2019</v>
      </c>
      <c r="N523" s="9">
        <v>0</v>
      </c>
      <c r="O523" s="13">
        <v>42451</v>
      </c>
      <c r="P523" s="13">
        <v>42451</v>
      </c>
    </row>
    <row r="524" spans="1:16" ht="14.25">
      <c r="A524" s="10">
        <v>2016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4</v>
      </c>
      <c r="M524" s="8">
        <v>2020</v>
      </c>
      <c r="N524" s="9">
        <v>0</v>
      </c>
      <c r="O524" s="13">
        <v>42451</v>
      </c>
      <c r="P524" s="13">
        <v>42451</v>
      </c>
    </row>
    <row r="525" spans="1:16" ht="14.25">
      <c r="A525" s="10">
        <v>2016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6</v>
      </c>
      <c r="M525" s="8">
        <v>2022</v>
      </c>
      <c r="N525" s="9">
        <v>0</v>
      </c>
      <c r="O525" s="13">
        <v>42451</v>
      </c>
      <c r="P525" s="13">
        <v>42451</v>
      </c>
    </row>
    <row r="526" spans="1:16" ht="14.25">
      <c r="A526" s="10">
        <v>2016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6</v>
      </c>
      <c r="M526" s="8">
        <v>2022</v>
      </c>
      <c r="N526" s="9">
        <v>0</v>
      </c>
      <c r="O526" s="13">
        <v>42451</v>
      </c>
      <c r="P526" s="13">
        <v>42451</v>
      </c>
    </row>
    <row r="527" spans="1:16" ht="14.25">
      <c r="A527" s="10">
        <v>2016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5</v>
      </c>
      <c r="M527" s="8">
        <v>2021</v>
      </c>
      <c r="N527" s="9">
        <v>0</v>
      </c>
      <c r="O527" s="13">
        <v>42451</v>
      </c>
      <c r="P527" s="13">
        <v>42451</v>
      </c>
    </row>
    <row r="528" spans="1:16" ht="14.25">
      <c r="A528" s="10">
        <v>2016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42451</v>
      </c>
      <c r="P528" s="13">
        <v>42451</v>
      </c>
    </row>
    <row r="529" spans="1:16" ht="14.25">
      <c r="A529" s="10">
        <v>2016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8</v>
      </c>
      <c r="M529" s="8">
        <v>2024</v>
      </c>
      <c r="N529" s="9">
        <v>0</v>
      </c>
      <c r="O529" s="13">
        <v>42451</v>
      </c>
      <c r="P529" s="13">
        <v>42451</v>
      </c>
    </row>
    <row r="530" spans="1:16" ht="14.25">
      <c r="A530" s="10">
        <v>2016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2020</v>
      </c>
      <c r="N530" s="9">
        <v>0</v>
      </c>
      <c r="O530" s="13">
        <v>42451</v>
      </c>
      <c r="P530" s="13">
        <v>42451</v>
      </c>
    </row>
    <row r="531" spans="1:16" ht="14.25">
      <c r="A531" s="10">
        <v>2016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1</v>
      </c>
      <c r="M531" s="8">
        <v>2017</v>
      </c>
      <c r="N531" s="9">
        <v>0</v>
      </c>
      <c r="O531" s="13">
        <v>42451</v>
      </c>
      <c r="P531" s="13">
        <v>42451</v>
      </c>
    </row>
    <row r="532" spans="1:16" ht="14.25">
      <c r="A532" s="10">
        <v>2016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3</v>
      </c>
      <c r="M532" s="8">
        <v>2019</v>
      </c>
      <c r="N532" s="9">
        <v>0</v>
      </c>
      <c r="O532" s="13">
        <v>42451</v>
      </c>
      <c r="P532" s="13">
        <v>42451</v>
      </c>
    </row>
    <row r="533" spans="1:16" ht="14.25">
      <c r="A533" s="10">
        <v>2016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0</v>
      </c>
      <c r="M533" s="8">
        <v>2016</v>
      </c>
      <c r="N533" s="9">
        <v>0</v>
      </c>
      <c r="O533" s="13">
        <v>42451</v>
      </c>
      <c r="P533" s="13">
        <v>42451</v>
      </c>
    </row>
    <row r="534" spans="1:16" ht="14.25">
      <c r="A534" s="10">
        <v>2016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2023</v>
      </c>
      <c r="N534" s="9">
        <v>0</v>
      </c>
      <c r="O534" s="13">
        <v>42451</v>
      </c>
      <c r="P534" s="13">
        <v>42451</v>
      </c>
    </row>
    <row r="535" spans="1:16" ht="14.25">
      <c r="A535" s="10">
        <v>2016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341</v>
      </c>
      <c r="K535" s="12" t="b">
        <v>0</v>
      </c>
      <c r="L535" s="12">
        <v>1</v>
      </c>
      <c r="M535" s="8">
        <v>2017</v>
      </c>
      <c r="N535" s="9">
        <v>255000</v>
      </c>
      <c r="O535" s="13">
        <v>42451</v>
      </c>
      <c r="P535" s="13">
        <v>42451</v>
      </c>
    </row>
    <row r="536" spans="1:16" ht="14.25">
      <c r="A536" s="10">
        <v>2016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341</v>
      </c>
      <c r="K536" s="12" t="b">
        <v>0</v>
      </c>
      <c r="L536" s="12">
        <v>3</v>
      </c>
      <c r="M536" s="8">
        <v>2019</v>
      </c>
      <c r="N536" s="9">
        <v>202000</v>
      </c>
      <c r="O536" s="13">
        <v>42451</v>
      </c>
      <c r="P536" s="13">
        <v>42451</v>
      </c>
    </row>
    <row r="537" spans="1:16" ht="14.25">
      <c r="A537" s="10">
        <v>2016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341</v>
      </c>
      <c r="K537" s="12" t="b">
        <v>0</v>
      </c>
      <c r="L537" s="12">
        <v>0</v>
      </c>
      <c r="M537" s="8">
        <v>2016</v>
      </c>
      <c r="N537" s="9">
        <v>264000</v>
      </c>
      <c r="O537" s="13">
        <v>42451</v>
      </c>
      <c r="P537" s="13">
        <v>42451</v>
      </c>
    </row>
    <row r="538" spans="1:16" ht="14.25">
      <c r="A538" s="10">
        <v>2016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341</v>
      </c>
      <c r="K538" s="12" t="b">
        <v>0</v>
      </c>
      <c r="L538" s="12">
        <v>8</v>
      </c>
      <c r="M538" s="8">
        <v>2024</v>
      </c>
      <c r="N538" s="9">
        <v>18000</v>
      </c>
      <c r="O538" s="13">
        <v>42451</v>
      </c>
      <c r="P538" s="13">
        <v>42451</v>
      </c>
    </row>
    <row r="539" spans="1:16" ht="14.25">
      <c r="A539" s="10">
        <v>2016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341</v>
      </c>
      <c r="K539" s="12" t="b">
        <v>0</v>
      </c>
      <c r="L539" s="12">
        <v>4</v>
      </c>
      <c r="M539" s="8">
        <v>2020</v>
      </c>
      <c r="N539" s="9">
        <v>163000</v>
      </c>
      <c r="O539" s="13">
        <v>42451</v>
      </c>
      <c r="P539" s="13">
        <v>42451</v>
      </c>
    </row>
    <row r="540" spans="1:16" ht="14.25">
      <c r="A540" s="10">
        <v>2016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341</v>
      </c>
      <c r="K540" s="12" t="b">
        <v>0</v>
      </c>
      <c r="L540" s="12">
        <v>5</v>
      </c>
      <c r="M540" s="8">
        <v>2021</v>
      </c>
      <c r="N540" s="9">
        <v>130000</v>
      </c>
      <c r="O540" s="13">
        <v>42451</v>
      </c>
      <c r="P540" s="13">
        <v>42451</v>
      </c>
    </row>
    <row r="541" spans="1:16" ht="14.25">
      <c r="A541" s="10">
        <v>2016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341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42451</v>
      </c>
      <c r="P541" s="13">
        <v>42451</v>
      </c>
    </row>
    <row r="542" spans="1:16" ht="14.25">
      <c r="A542" s="10">
        <v>2016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341</v>
      </c>
      <c r="K542" s="12" t="b">
        <v>0</v>
      </c>
      <c r="L542" s="12">
        <v>2</v>
      </c>
      <c r="M542" s="8">
        <v>2018</v>
      </c>
      <c r="N542" s="9">
        <v>244000</v>
      </c>
      <c r="O542" s="13">
        <v>42451</v>
      </c>
      <c r="P542" s="13">
        <v>42451</v>
      </c>
    </row>
    <row r="543" spans="1:16" ht="14.25">
      <c r="A543" s="10">
        <v>2016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341</v>
      </c>
      <c r="K543" s="12" t="b">
        <v>0</v>
      </c>
      <c r="L543" s="12">
        <v>6</v>
      </c>
      <c r="M543" s="8">
        <v>2022</v>
      </c>
      <c r="N543" s="9">
        <v>90000</v>
      </c>
      <c r="O543" s="13">
        <v>42451</v>
      </c>
      <c r="P543" s="13">
        <v>42451</v>
      </c>
    </row>
    <row r="544" spans="1:16" ht="14.25">
      <c r="A544" s="10">
        <v>2016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7</v>
      </c>
      <c r="M544" s="8">
        <v>2023</v>
      </c>
      <c r="N544" s="9">
        <v>0</v>
      </c>
      <c r="O544" s="13">
        <v>42451</v>
      </c>
      <c r="P544" s="13">
        <v>42451</v>
      </c>
    </row>
    <row r="545" spans="1:16" ht="14.25">
      <c r="A545" s="10">
        <v>2016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4</v>
      </c>
      <c r="M545" s="8">
        <v>2020</v>
      </c>
      <c r="N545" s="9">
        <v>0</v>
      </c>
      <c r="O545" s="13">
        <v>42451</v>
      </c>
      <c r="P545" s="13">
        <v>42451</v>
      </c>
    </row>
    <row r="546" spans="1:16" ht="14.25">
      <c r="A546" s="10">
        <v>2016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1</v>
      </c>
      <c r="M546" s="8">
        <v>2017</v>
      </c>
      <c r="N546" s="9">
        <v>0</v>
      </c>
      <c r="O546" s="13">
        <v>42451</v>
      </c>
      <c r="P546" s="13">
        <v>42451</v>
      </c>
    </row>
    <row r="547" spans="1:16" ht="14.25">
      <c r="A547" s="10">
        <v>2016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3</v>
      </c>
      <c r="M547" s="8">
        <v>2019</v>
      </c>
      <c r="N547" s="9">
        <v>0</v>
      </c>
      <c r="O547" s="13">
        <v>42451</v>
      </c>
      <c r="P547" s="13">
        <v>42451</v>
      </c>
    </row>
    <row r="548" spans="1:16" ht="14.25">
      <c r="A548" s="10">
        <v>2016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0</v>
      </c>
      <c r="M548" s="8">
        <v>2016</v>
      </c>
      <c r="N548" s="9">
        <v>0</v>
      </c>
      <c r="O548" s="13">
        <v>42451</v>
      </c>
      <c r="P548" s="13">
        <v>42451</v>
      </c>
    </row>
    <row r="549" spans="1:16" ht="14.25">
      <c r="A549" s="10">
        <v>2016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2</v>
      </c>
      <c r="M549" s="8">
        <v>2018</v>
      </c>
      <c r="N549" s="9">
        <v>0</v>
      </c>
      <c r="O549" s="13">
        <v>42451</v>
      </c>
      <c r="P549" s="13">
        <v>42451</v>
      </c>
    </row>
    <row r="550" spans="1:16" ht="14.25">
      <c r="A550" s="10">
        <v>2016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8</v>
      </c>
      <c r="M550" s="8">
        <v>2024</v>
      </c>
      <c r="N550" s="9">
        <v>0</v>
      </c>
      <c r="O550" s="13">
        <v>42451</v>
      </c>
      <c r="P550" s="13">
        <v>42451</v>
      </c>
    </row>
    <row r="551" spans="1:16" ht="14.25">
      <c r="A551" s="10">
        <v>2016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6</v>
      </c>
      <c r="M551" s="8">
        <v>2022</v>
      </c>
      <c r="N551" s="9">
        <v>0</v>
      </c>
      <c r="O551" s="13">
        <v>42451</v>
      </c>
      <c r="P551" s="13">
        <v>42451</v>
      </c>
    </row>
    <row r="552" spans="1:16" ht="14.25">
      <c r="A552" s="10">
        <v>2016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5</v>
      </c>
      <c r="M552" s="8">
        <v>2021</v>
      </c>
      <c r="N552" s="9">
        <v>0</v>
      </c>
      <c r="O552" s="13">
        <v>42451</v>
      </c>
      <c r="P552" s="13">
        <v>42451</v>
      </c>
    </row>
    <row r="553" spans="1:16" ht="14.25">
      <c r="A553" s="10">
        <v>2016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8</v>
      </c>
      <c r="M553" s="8">
        <v>2024</v>
      </c>
      <c r="N553" s="9">
        <v>1395931.24</v>
      </c>
      <c r="O553" s="13">
        <v>42451</v>
      </c>
      <c r="P553" s="13">
        <v>42451</v>
      </c>
    </row>
    <row r="554" spans="1:16" ht="14.25">
      <c r="A554" s="10">
        <v>2016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2</v>
      </c>
      <c r="M554" s="8">
        <v>2018</v>
      </c>
      <c r="N554" s="9">
        <v>852620.55</v>
      </c>
      <c r="O554" s="13">
        <v>42451</v>
      </c>
      <c r="P554" s="13">
        <v>42451</v>
      </c>
    </row>
    <row r="555" spans="1:16" ht="14.25">
      <c r="A555" s="10">
        <v>2016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2019</v>
      </c>
      <c r="N555" s="9">
        <v>978585.12</v>
      </c>
      <c r="O555" s="13">
        <v>42451</v>
      </c>
      <c r="P555" s="13">
        <v>42451</v>
      </c>
    </row>
    <row r="556" spans="1:16" ht="14.25">
      <c r="A556" s="10">
        <v>2016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2020</v>
      </c>
      <c r="N556" s="9">
        <v>1208585.12</v>
      </c>
      <c r="O556" s="13">
        <v>42451</v>
      </c>
      <c r="P556" s="13">
        <v>42451</v>
      </c>
    </row>
    <row r="557" spans="1:16" ht="14.25">
      <c r="A557" s="10">
        <v>2016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6</v>
      </c>
      <c r="M557" s="8">
        <v>2022</v>
      </c>
      <c r="N557" s="9">
        <v>1246585.12</v>
      </c>
      <c r="O557" s="13">
        <v>42451</v>
      </c>
      <c r="P557" s="13">
        <v>42451</v>
      </c>
    </row>
    <row r="558" spans="1:16" ht="14.25">
      <c r="A558" s="10">
        <v>2016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0</v>
      </c>
      <c r="M558" s="8">
        <v>2016</v>
      </c>
      <c r="N558" s="9">
        <v>3326444</v>
      </c>
      <c r="O558" s="13">
        <v>42451</v>
      </c>
      <c r="P558" s="13">
        <v>42451</v>
      </c>
    </row>
    <row r="559" spans="1:16" ht="14.25">
      <c r="A559" s="10">
        <v>2016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1</v>
      </c>
      <c r="M559" s="8">
        <v>2017</v>
      </c>
      <c r="N559" s="9">
        <v>767001.12</v>
      </c>
      <c r="O559" s="13">
        <v>42451</v>
      </c>
      <c r="P559" s="13">
        <v>42451</v>
      </c>
    </row>
    <row r="560" spans="1:16" ht="14.25">
      <c r="A560" s="10">
        <v>2016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5</v>
      </c>
      <c r="M560" s="8">
        <v>2021</v>
      </c>
      <c r="N560" s="9">
        <v>1227585.12</v>
      </c>
      <c r="O560" s="13">
        <v>42451</v>
      </c>
      <c r="P560" s="13">
        <v>42451</v>
      </c>
    </row>
    <row r="561" spans="1:16" ht="14.25">
      <c r="A561" s="10">
        <v>2016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7</v>
      </c>
      <c r="M561" s="8">
        <v>2023</v>
      </c>
      <c r="N561" s="9">
        <v>1343385.12</v>
      </c>
      <c r="O561" s="13">
        <v>42451</v>
      </c>
      <c r="P561" s="13">
        <v>42451</v>
      </c>
    </row>
    <row r="562" spans="1:16" ht="14.25">
      <c r="A562" s="10">
        <v>2016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481</v>
      </c>
      <c r="K562" s="12" t="b">
        <v>1</v>
      </c>
      <c r="L562" s="12">
        <v>6</v>
      </c>
      <c r="M562" s="8">
        <v>2022</v>
      </c>
      <c r="N562" s="9">
        <v>0</v>
      </c>
      <c r="O562" s="13">
        <v>42451</v>
      </c>
      <c r="P562" s="13">
        <v>42451</v>
      </c>
    </row>
    <row r="563" spans="1:16" ht="14.25">
      <c r="A563" s="10">
        <v>2016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481</v>
      </c>
      <c r="K563" s="12" t="b">
        <v>1</v>
      </c>
      <c r="L563" s="12">
        <v>5</v>
      </c>
      <c r="M563" s="8">
        <v>2021</v>
      </c>
      <c r="N563" s="9">
        <v>0</v>
      </c>
      <c r="O563" s="13">
        <v>42451</v>
      </c>
      <c r="P563" s="13">
        <v>42451</v>
      </c>
    </row>
    <row r="564" spans="1:16" ht="14.25">
      <c r="A564" s="10">
        <v>2016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481</v>
      </c>
      <c r="K564" s="12" t="b">
        <v>1</v>
      </c>
      <c r="L564" s="12">
        <v>0</v>
      </c>
      <c r="M564" s="8">
        <v>2016</v>
      </c>
      <c r="N564" s="9">
        <v>0</v>
      </c>
      <c r="O564" s="13">
        <v>42451</v>
      </c>
      <c r="P564" s="13">
        <v>42451</v>
      </c>
    </row>
    <row r="565" spans="1:16" ht="14.25">
      <c r="A565" s="10">
        <v>2016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481</v>
      </c>
      <c r="K565" s="12" t="b">
        <v>1</v>
      </c>
      <c r="L565" s="12">
        <v>4</v>
      </c>
      <c r="M565" s="8">
        <v>2020</v>
      </c>
      <c r="N565" s="9">
        <v>0</v>
      </c>
      <c r="O565" s="13">
        <v>42451</v>
      </c>
      <c r="P565" s="13">
        <v>42451</v>
      </c>
    </row>
    <row r="566" spans="1:16" ht="14.25">
      <c r="A566" s="10">
        <v>2016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481</v>
      </c>
      <c r="K566" s="12" t="b">
        <v>1</v>
      </c>
      <c r="L566" s="12">
        <v>2</v>
      </c>
      <c r="M566" s="8">
        <v>2018</v>
      </c>
      <c r="N566" s="9">
        <v>0</v>
      </c>
      <c r="O566" s="13">
        <v>42451</v>
      </c>
      <c r="P566" s="13">
        <v>42451</v>
      </c>
    </row>
    <row r="567" spans="1:16" ht="14.25">
      <c r="A567" s="10">
        <v>2016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481</v>
      </c>
      <c r="K567" s="12" t="b">
        <v>1</v>
      </c>
      <c r="L567" s="12">
        <v>7</v>
      </c>
      <c r="M567" s="8">
        <v>2023</v>
      </c>
      <c r="N567" s="9">
        <v>0</v>
      </c>
      <c r="O567" s="13">
        <v>42451</v>
      </c>
      <c r="P567" s="13">
        <v>42451</v>
      </c>
    </row>
    <row r="568" spans="1:16" ht="14.25">
      <c r="A568" s="10">
        <v>2016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481</v>
      </c>
      <c r="K568" s="12" t="b">
        <v>1</v>
      </c>
      <c r="L568" s="12">
        <v>8</v>
      </c>
      <c r="M568" s="8">
        <v>2024</v>
      </c>
      <c r="N568" s="9">
        <v>0</v>
      </c>
      <c r="O568" s="13">
        <v>42451</v>
      </c>
      <c r="P568" s="13">
        <v>42451</v>
      </c>
    </row>
    <row r="569" spans="1:16" ht="14.25">
      <c r="A569" s="10">
        <v>2016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481</v>
      </c>
      <c r="K569" s="12" t="b">
        <v>1</v>
      </c>
      <c r="L569" s="12">
        <v>3</v>
      </c>
      <c r="M569" s="8">
        <v>2019</v>
      </c>
      <c r="N569" s="9">
        <v>0</v>
      </c>
      <c r="O569" s="13">
        <v>42451</v>
      </c>
      <c r="P569" s="13">
        <v>42451</v>
      </c>
    </row>
    <row r="570" spans="1:16" ht="14.25">
      <c r="A570" s="10">
        <v>2016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481</v>
      </c>
      <c r="K570" s="12" t="b">
        <v>1</v>
      </c>
      <c r="L570" s="12">
        <v>1</v>
      </c>
      <c r="M570" s="8">
        <v>2017</v>
      </c>
      <c r="N570" s="9">
        <v>0</v>
      </c>
      <c r="O570" s="13">
        <v>42451</v>
      </c>
      <c r="P570" s="13">
        <v>42451</v>
      </c>
    </row>
    <row r="571" spans="1:16" ht="14.25">
      <c r="A571" s="10">
        <v>2016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5</v>
      </c>
      <c r="M571" s="8">
        <v>2021</v>
      </c>
      <c r="N571" s="9">
        <v>0</v>
      </c>
      <c r="O571" s="13">
        <v>42451</v>
      </c>
      <c r="P571" s="13">
        <v>42451</v>
      </c>
    </row>
    <row r="572" spans="1:16" ht="14.25">
      <c r="A572" s="10">
        <v>2016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2</v>
      </c>
      <c r="M572" s="8">
        <v>2018</v>
      </c>
      <c r="N572" s="9">
        <v>0</v>
      </c>
      <c r="O572" s="13">
        <v>42451</v>
      </c>
      <c r="P572" s="13">
        <v>42451</v>
      </c>
    </row>
    <row r="573" spans="1:16" ht="14.25">
      <c r="A573" s="10">
        <v>2016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1</v>
      </c>
      <c r="M573" s="8">
        <v>2017</v>
      </c>
      <c r="N573" s="9">
        <v>0</v>
      </c>
      <c r="O573" s="13">
        <v>42451</v>
      </c>
      <c r="P573" s="13">
        <v>42451</v>
      </c>
    </row>
    <row r="574" spans="1:16" ht="14.25">
      <c r="A574" s="10">
        <v>2016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0</v>
      </c>
      <c r="M574" s="8">
        <v>2016</v>
      </c>
      <c r="N574" s="9">
        <v>0</v>
      </c>
      <c r="O574" s="13">
        <v>42451</v>
      </c>
      <c r="P574" s="13">
        <v>42451</v>
      </c>
    </row>
    <row r="575" spans="1:16" ht="14.25">
      <c r="A575" s="10">
        <v>2016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2020</v>
      </c>
      <c r="N575" s="9">
        <v>0</v>
      </c>
      <c r="O575" s="13">
        <v>42451</v>
      </c>
      <c r="P575" s="13">
        <v>42451</v>
      </c>
    </row>
    <row r="576" spans="1:16" ht="14.25">
      <c r="A576" s="10">
        <v>2016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6</v>
      </c>
      <c r="M576" s="8">
        <v>2022</v>
      </c>
      <c r="N576" s="9">
        <v>0</v>
      </c>
      <c r="O576" s="13">
        <v>42451</v>
      </c>
      <c r="P576" s="13">
        <v>42451</v>
      </c>
    </row>
    <row r="577" spans="1:16" ht="14.25">
      <c r="A577" s="10">
        <v>2016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8</v>
      </c>
      <c r="M577" s="8">
        <v>2024</v>
      </c>
      <c r="N577" s="9">
        <v>0</v>
      </c>
      <c r="O577" s="13">
        <v>42451</v>
      </c>
      <c r="P577" s="13">
        <v>42451</v>
      </c>
    </row>
    <row r="578" spans="1:16" ht="14.25">
      <c r="A578" s="10">
        <v>2016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7</v>
      </c>
      <c r="M578" s="8">
        <v>2023</v>
      </c>
      <c r="N578" s="9">
        <v>0</v>
      </c>
      <c r="O578" s="13">
        <v>42451</v>
      </c>
      <c r="P578" s="13">
        <v>42451</v>
      </c>
    </row>
    <row r="579" spans="1:16" ht="14.25">
      <c r="A579" s="10">
        <v>2016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3</v>
      </c>
      <c r="M579" s="8">
        <v>2019</v>
      </c>
      <c r="N579" s="9">
        <v>0</v>
      </c>
      <c r="O579" s="13">
        <v>42451</v>
      </c>
      <c r="P579" s="13">
        <v>42451</v>
      </c>
    </row>
    <row r="580" spans="1:16" ht="14.25">
      <c r="A580" s="10">
        <v>2016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0</v>
      </c>
      <c r="M580" s="8">
        <v>2016</v>
      </c>
      <c r="N580" s="9">
        <v>0</v>
      </c>
      <c r="O580" s="13">
        <v>42451</v>
      </c>
      <c r="P580" s="13">
        <v>42451</v>
      </c>
    </row>
    <row r="581" spans="1:16" ht="14.25">
      <c r="A581" s="10">
        <v>2016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6</v>
      </c>
      <c r="M581" s="8">
        <v>2022</v>
      </c>
      <c r="N581" s="9">
        <v>0</v>
      </c>
      <c r="O581" s="13">
        <v>42451</v>
      </c>
      <c r="P581" s="13">
        <v>42451</v>
      </c>
    </row>
    <row r="582" spans="1:16" ht="14.25">
      <c r="A582" s="10">
        <v>2016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8</v>
      </c>
      <c r="M582" s="8">
        <v>2024</v>
      </c>
      <c r="N582" s="9">
        <v>0</v>
      </c>
      <c r="O582" s="13">
        <v>42451</v>
      </c>
      <c r="P582" s="13">
        <v>42451</v>
      </c>
    </row>
    <row r="583" spans="1:16" ht="14.25">
      <c r="A583" s="10">
        <v>2016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7</v>
      </c>
      <c r="M583" s="8">
        <v>2023</v>
      </c>
      <c r="N583" s="9">
        <v>0</v>
      </c>
      <c r="O583" s="13">
        <v>42451</v>
      </c>
      <c r="P583" s="13">
        <v>42451</v>
      </c>
    </row>
    <row r="584" spans="1:16" ht="14.25">
      <c r="A584" s="10">
        <v>2016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5</v>
      </c>
      <c r="M584" s="8">
        <v>2021</v>
      </c>
      <c r="N584" s="9">
        <v>0</v>
      </c>
      <c r="O584" s="13">
        <v>42451</v>
      </c>
      <c r="P584" s="13">
        <v>42451</v>
      </c>
    </row>
    <row r="585" spans="1:16" ht="14.25">
      <c r="A585" s="10">
        <v>2016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2</v>
      </c>
      <c r="M585" s="8">
        <v>2018</v>
      </c>
      <c r="N585" s="9">
        <v>0</v>
      </c>
      <c r="O585" s="13">
        <v>42451</v>
      </c>
      <c r="P585" s="13">
        <v>42451</v>
      </c>
    </row>
    <row r="586" spans="1:16" ht="14.25">
      <c r="A586" s="10">
        <v>2016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3</v>
      </c>
      <c r="M586" s="8">
        <v>2019</v>
      </c>
      <c r="N586" s="9">
        <v>0</v>
      </c>
      <c r="O586" s="13">
        <v>42451</v>
      </c>
      <c r="P586" s="13">
        <v>42451</v>
      </c>
    </row>
    <row r="587" spans="1:16" ht="14.25">
      <c r="A587" s="10">
        <v>2016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42451</v>
      </c>
      <c r="P587" s="13">
        <v>42451</v>
      </c>
    </row>
    <row r="588" spans="1:16" ht="14.25">
      <c r="A588" s="10">
        <v>2016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4</v>
      </c>
      <c r="M588" s="8">
        <v>2020</v>
      </c>
      <c r="N588" s="9">
        <v>0</v>
      </c>
      <c r="O588" s="13">
        <v>42451</v>
      </c>
      <c r="P588" s="13">
        <v>42451</v>
      </c>
    </row>
    <row r="589" spans="1:16" ht="14.25">
      <c r="A589" s="10">
        <v>2016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482</v>
      </c>
      <c r="K589" s="12" t="b">
        <v>1</v>
      </c>
      <c r="L589" s="12">
        <v>6</v>
      </c>
      <c r="M589" s="8">
        <v>2022</v>
      </c>
      <c r="N589" s="9">
        <v>0</v>
      </c>
      <c r="O589" s="13">
        <v>42451</v>
      </c>
      <c r="P589" s="13">
        <v>42451</v>
      </c>
    </row>
    <row r="590" spans="1:16" ht="14.25">
      <c r="A590" s="10">
        <v>2016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482</v>
      </c>
      <c r="K590" s="12" t="b">
        <v>1</v>
      </c>
      <c r="L590" s="12">
        <v>8</v>
      </c>
      <c r="M590" s="8">
        <v>2024</v>
      </c>
      <c r="N590" s="9">
        <v>0</v>
      </c>
      <c r="O590" s="13">
        <v>42451</v>
      </c>
      <c r="P590" s="13">
        <v>42451</v>
      </c>
    </row>
    <row r="591" spans="1:16" ht="14.25">
      <c r="A591" s="10">
        <v>2016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482</v>
      </c>
      <c r="K591" s="12" t="b">
        <v>1</v>
      </c>
      <c r="L591" s="12">
        <v>2</v>
      </c>
      <c r="M591" s="8">
        <v>2018</v>
      </c>
      <c r="N591" s="9">
        <v>0</v>
      </c>
      <c r="O591" s="13">
        <v>42451</v>
      </c>
      <c r="P591" s="13">
        <v>42451</v>
      </c>
    </row>
    <row r="592" spans="1:16" ht="14.25">
      <c r="A592" s="10">
        <v>2016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482</v>
      </c>
      <c r="K592" s="12" t="b">
        <v>1</v>
      </c>
      <c r="L592" s="12">
        <v>1</v>
      </c>
      <c r="M592" s="8">
        <v>2017</v>
      </c>
      <c r="N592" s="9">
        <v>0</v>
      </c>
      <c r="O592" s="13">
        <v>42451</v>
      </c>
      <c r="P592" s="13">
        <v>42451</v>
      </c>
    </row>
    <row r="593" spans="1:16" ht="14.25">
      <c r="A593" s="10">
        <v>2016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482</v>
      </c>
      <c r="K593" s="12" t="b">
        <v>1</v>
      </c>
      <c r="L593" s="12">
        <v>3</v>
      </c>
      <c r="M593" s="8">
        <v>2019</v>
      </c>
      <c r="N593" s="9">
        <v>0</v>
      </c>
      <c r="O593" s="13">
        <v>42451</v>
      </c>
      <c r="P593" s="13">
        <v>42451</v>
      </c>
    </row>
    <row r="594" spans="1:16" ht="14.25">
      <c r="A594" s="10">
        <v>2016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482</v>
      </c>
      <c r="K594" s="12" t="b">
        <v>1</v>
      </c>
      <c r="L594" s="12">
        <v>4</v>
      </c>
      <c r="M594" s="8">
        <v>2020</v>
      </c>
      <c r="N594" s="9">
        <v>0</v>
      </c>
      <c r="O594" s="13">
        <v>42451</v>
      </c>
      <c r="P594" s="13">
        <v>42451</v>
      </c>
    </row>
    <row r="595" spans="1:16" ht="14.25">
      <c r="A595" s="10">
        <v>2016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482</v>
      </c>
      <c r="K595" s="12" t="b">
        <v>1</v>
      </c>
      <c r="L595" s="12">
        <v>0</v>
      </c>
      <c r="M595" s="8">
        <v>2016</v>
      </c>
      <c r="N595" s="9">
        <v>0</v>
      </c>
      <c r="O595" s="13">
        <v>42451</v>
      </c>
      <c r="P595" s="13">
        <v>42451</v>
      </c>
    </row>
    <row r="596" spans="1:16" ht="14.25">
      <c r="A596" s="10">
        <v>2016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482</v>
      </c>
      <c r="K596" s="12" t="b">
        <v>1</v>
      </c>
      <c r="L596" s="12">
        <v>7</v>
      </c>
      <c r="M596" s="8">
        <v>2023</v>
      </c>
      <c r="N596" s="9">
        <v>0</v>
      </c>
      <c r="O596" s="13">
        <v>42451</v>
      </c>
      <c r="P596" s="13">
        <v>42451</v>
      </c>
    </row>
    <row r="597" spans="1:16" ht="14.25">
      <c r="A597" s="10">
        <v>2016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482</v>
      </c>
      <c r="K597" s="12" t="b">
        <v>1</v>
      </c>
      <c r="L597" s="12">
        <v>5</v>
      </c>
      <c r="M597" s="8">
        <v>2021</v>
      </c>
      <c r="N597" s="9">
        <v>0</v>
      </c>
      <c r="O597" s="13">
        <v>42451</v>
      </c>
      <c r="P597" s="13">
        <v>42451</v>
      </c>
    </row>
    <row r="598" spans="1:16" ht="14.25">
      <c r="A598" s="10">
        <v>2016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334</v>
      </c>
      <c r="H598" s="12" t="s">
        <v>352</v>
      </c>
      <c r="I598" s="12"/>
      <c r="J598" s="12" t="s">
        <v>353</v>
      </c>
      <c r="K598" s="12" t="b">
        <v>1</v>
      </c>
      <c r="L598" s="12">
        <v>3</v>
      </c>
      <c r="M598" s="8">
        <v>2019</v>
      </c>
      <c r="N598" s="9">
        <v>0</v>
      </c>
      <c r="O598" s="13">
        <v>42451</v>
      </c>
      <c r="P598" s="13">
        <v>42451</v>
      </c>
    </row>
    <row r="599" spans="1:16" ht="14.25">
      <c r="A599" s="10">
        <v>2016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334</v>
      </c>
      <c r="H599" s="12" t="s">
        <v>352</v>
      </c>
      <c r="I599" s="12"/>
      <c r="J599" s="12" t="s">
        <v>353</v>
      </c>
      <c r="K599" s="12" t="b">
        <v>1</v>
      </c>
      <c r="L599" s="12">
        <v>6</v>
      </c>
      <c r="M599" s="8">
        <v>2022</v>
      </c>
      <c r="N599" s="9">
        <v>0</v>
      </c>
      <c r="O599" s="13">
        <v>42451</v>
      </c>
      <c r="P599" s="13">
        <v>42451</v>
      </c>
    </row>
    <row r="600" spans="1:16" ht="14.25">
      <c r="A600" s="10">
        <v>2016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334</v>
      </c>
      <c r="H600" s="12" t="s">
        <v>352</v>
      </c>
      <c r="I600" s="12"/>
      <c r="J600" s="12" t="s">
        <v>353</v>
      </c>
      <c r="K600" s="12" t="b">
        <v>1</v>
      </c>
      <c r="L600" s="12">
        <v>1</v>
      </c>
      <c r="M600" s="8">
        <v>2017</v>
      </c>
      <c r="N600" s="9">
        <v>0</v>
      </c>
      <c r="O600" s="13">
        <v>42451</v>
      </c>
      <c r="P600" s="13">
        <v>42451</v>
      </c>
    </row>
    <row r="601" spans="1:16" ht="14.25">
      <c r="A601" s="10">
        <v>2016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334</v>
      </c>
      <c r="H601" s="12" t="s">
        <v>352</v>
      </c>
      <c r="I601" s="12"/>
      <c r="J601" s="12" t="s">
        <v>353</v>
      </c>
      <c r="K601" s="12" t="b">
        <v>1</v>
      </c>
      <c r="L601" s="12">
        <v>8</v>
      </c>
      <c r="M601" s="8">
        <v>2024</v>
      </c>
      <c r="N601" s="9">
        <v>0</v>
      </c>
      <c r="O601" s="13">
        <v>42451</v>
      </c>
      <c r="P601" s="13">
        <v>42451</v>
      </c>
    </row>
    <row r="602" spans="1:16" ht="14.25">
      <c r="A602" s="10">
        <v>2016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334</v>
      </c>
      <c r="H602" s="12" t="s">
        <v>352</v>
      </c>
      <c r="I602" s="12"/>
      <c r="J602" s="12" t="s">
        <v>353</v>
      </c>
      <c r="K602" s="12" t="b">
        <v>1</v>
      </c>
      <c r="L602" s="12">
        <v>5</v>
      </c>
      <c r="M602" s="8">
        <v>2021</v>
      </c>
      <c r="N602" s="9">
        <v>0</v>
      </c>
      <c r="O602" s="13">
        <v>42451</v>
      </c>
      <c r="P602" s="13">
        <v>42451</v>
      </c>
    </row>
    <row r="603" spans="1:16" ht="14.25">
      <c r="A603" s="10">
        <v>2016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334</v>
      </c>
      <c r="H603" s="12" t="s">
        <v>352</v>
      </c>
      <c r="I603" s="12"/>
      <c r="J603" s="12" t="s">
        <v>353</v>
      </c>
      <c r="K603" s="12" t="b">
        <v>1</v>
      </c>
      <c r="L603" s="12">
        <v>4</v>
      </c>
      <c r="M603" s="8">
        <v>2020</v>
      </c>
      <c r="N603" s="9">
        <v>0</v>
      </c>
      <c r="O603" s="13">
        <v>42451</v>
      </c>
      <c r="P603" s="13">
        <v>42451</v>
      </c>
    </row>
    <row r="604" spans="1:16" ht="14.25">
      <c r="A604" s="10">
        <v>2016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334</v>
      </c>
      <c r="H604" s="12" t="s">
        <v>352</v>
      </c>
      <c r="I604" s="12"/>
      <c r="J604" s="12" t="s">
        <v>353</v>
      </c>
      <c r="K604" s="12" t="b">
        <v>1</v>
      </c>
      <c r="L604" s="12">
        <v>7</v>
      </c>
      <c r="M604" s="8">
        <v>2023</v>
      </c>
      <c r="N604" s="9">
        <v>0</v>
      </c>
      <c r="O604" s="13">
        <v>42451</v>
      </c>
      <c r="P604" s="13">
        <v>42451</v>
      </c>
    </row>
    <row r="605" spans="1:16" ht="14.25">
      <c r="A605" s="10">
        <v>2016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334</v>
      </c>
      <c r="H605" s="12" t="s">
        <v>352</v>
      </c>
      <c r="I605" s="12"/>
      <c r="J605" s="12" t="s">
        <v>353</v>
      </c>
      <c r="K605" s="12" t="b">
        <v>1</v>
      </c>
      <c r="L605" s="12">
        <v>0</v>
      </c>
      <c r="M605" s="8">
        <v>2016</v>
      </c>
      <c r="N605" s="9">
        <v>0</v>
      </c>
      <c r="O605" s="13">
        <v>42451</v>
      </c>
      <c r="P605" s="13">
        <v>42451</v>
      </c>
    </row>
    <row r="606" spans="1:16" ht="14.25">
      <c r="A606" s="10">
        <v>2016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334</v>
      </c>
      <c r="H606" s="12" t="s">
        <v>352</v>
      </c>
      <c r="I606" s="12"/>
      <c r="J606" s="12" t="s">
        <v>353</v>
      </c>
      <c r="K606" s="12" t="b">
        <v>1</v>
      </c>
      <c r="L606" s="12">
        <v>2</v>
      </c>
      <c r="M606" s="8">
        <v>2018</v>
      </c>
      <c r="N606" s="9">
        <v>0</v>
      </c>
      <c r="O606" s="13">
        <v>42451</v>
      </c>
      <c r="P606" s="13">
        <v>42451</v>
      </c>
    </row>
    <row r="607" spans="1:16" ht="14.25">
      <c r="A607" s="10">
        <v>2016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0</v>
      </c>
      <c r="M607" s="8">
        <v>2016</v>
      </c>
      <c r="N607" s="9">
        <v>0</v>
      </c>
      <c r="O607" s="13">
        <v>42451</v>
      </c>
      <c r="P607" s="13">
        <v>42451</v>
      </c>
    </row>
    <row r="608" spans="1:16" ht="14.25">
      <c r="A608" s="10">
        <v>2016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5</v>
      </c>
      <c r="M608" s="8">
        <v>2021</v>
      </c>
      <c r="N608" s="9">
        <v>0</v>
      </c>
      <c r="O608" s="13">
        <v>42451</v>
      </c>
      <c r="P608" s="13">
        <v>42451</v>
      </c>
    </row>
    <row r="609" spans="1:16" ht="14.25">
      <c r="A609" s="10">
        <v>2016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3</v>
      </c>
      <c r="M609" s="8">
        <v>2019</v>
      </c>
      <c r="N609" s="9">
        <v>0</v>
      </c>
      <c r="O609" s="13">
        <v>42451</v>
      </c>
      <c r="P609" s="13">
        <v>42451</v>
      </c>
    </row>
    <row r="610" spans="1:16" ht="14.25">
      <c r="A610" s="10">
        <v>2016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8</v>
      </c>
      <c r="M610" s="8">
        <v>2024</v>
      </c>
      <c r="N610" s="9">
        <v>0</v>
      </c>
      <c r="O610" s="13">
        <v>42451</v>
      </c>
      <c r="P610" s="13">
        <v>42451</v>
      </c>
    </row>
    <row r="611" spans="1:16" ht="14.25">
      <c r="A611" s="10">
        <v>2016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6</v>
      </c>
      <c r="M611" s="8">
        <v>2022</v>
      </c>
      <c r="N611" s="9">
        <v>0</v>
      </c>
      <c r="O611" s="13">
        <v>42451</v>
      </c>
      <c r="P611" s="13">
        <v>42451</v>
      </c>
    </row>
    <row r="612" spans="1:16" ht="14.25">
      <c r="A612" s="10">
        <v>2016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4</v>
      </c>
      <c r="M612" s="8">
        <v>2020</v>
      </c>
      <c r="N612" s="9">
        <v>0</v>
      </c>
      <c r="O612" s="13">
        <v>42451</v>
      </c>
      <c r="P612" s="13">
        <v>42451</v>
      </c>
    </row>
    <row r="613" spans="1:16" ht="14.25">
      <c r="A613" s="10">
        <v>2016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2</v>
      </c>
      <c r="M613" s="8">
        <v>2018</v>
      </c>
      <c r="N613" s="9">
        <v>0</v>
      </c>
      <c r="O613" s="13">
        <v>42451</v>
      </c>
      <c r="P613" s="13">
        <v>42451</v>
      </c>
    </row>
    <row r="614" spans="1:16" ht="14.25">
      <c r="A614" s="10">
        <v>2016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2023</v>
      </c>
      <c r="N614" s="9">
        <v>0</v>
      </c>
      <c r="O614" s="13">
        <v>42451</v>
      </c>
      <c r="P614" s="13">
        <v>42451</v>
      </c>
    </row>
    <row r="615" spans="1:16" ht="14.25">
      <c r="A615" s="10">
        <v>2016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1</v>
      </c>
      <c r="M615" s="8">
        <v>2017</v>
      </c>
      <c r="N615" s="9">
        <v>0</v>
      </c>
      <c r="O615" s="13">
        <v>42451</v>
      </c>
      <c r="P615" s="13">
        <v>42451</v>
      </c>
    </row>
    <row r="616" spans="1:16" ht="14.25">
      <c r="A616" s="10">
        <v>2016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4</v>
      </c>
      <c r="M616" s="8">
        <v>2020</v>
      </c>
      <c r="N616" s="9">
        <v>0</v>
      </c>
      <c r="O616" s="13">
        <v>42451</v>
      </c>
      <c r="P616" s="13">
        <v>42451</v>
      </c>
    </row>
    <row r="617" spans="1:16" ht="14.25">
      <c r="A617" s="10">
        <v>2016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8</v>
      </c>
      <c r="M617" s="8">
        <v>2024</v>
      </c>
      <c r="N617" s="9">
        <v>0</v>
      </c>
      <c r="O617" s="13">
        <v>42451</v>
      </c>
      <c r="P617" s="13">
        <v>42451</v>
      </c>
    </row>
    <row r="618" spans="1:16" ht="14.25">
      <c r="A618" s="10">
        <v>2016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1</v>
      </c>
      <c r="M618" s="8">
        <v>2017</v>
      </c>
      <c r="N618" s="9">
        <v>0</v>
      </c>
      <c r="O618" s="13">
        <v>42451</v>
      </c>
      <c r="P618" s="13">
        <v>42451</v>
      </c>
    </row>
    <row r="619" spans="1:16" ht="14.25">
      <c r="A619" s="10">
        <v>2016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0</v>
      </c>
      <c r="M619" s="8">
        <v>2016</v>
      </c>
      <c r="N619" s="9">
        <v>0</v>
      </c>
      <c r="O619" s="13">
        <v>42451</v>
      </c>
      <c r="P619" s="13">
        <v>42451</v>
      </c>
    </row>
    <row r="620" spans="1:16" ht="14.25">
      <c r="A620" s="10">
        <v>2016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2</v>
      </c>
      <c r="M620" s="8">
        <v>2018</v>
      </c>
      <c r="N620" s="9">
        <v>0</v>
      </c>
      <c r="O620" s="13">
        <v>42451</v>
      </c>
      <c r="P620" s="13">
        <v>42451</v>
      </c>
    </row>
    <row r="621" spans="1:16" ht="14.25">
      <c r="A621" s="10">
        <v>2016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5</v>
      </c>
      <c r="M621" s="8">
        <v>2021</v>
      </c>
      <c r="N621" s="9">
        <v>0</v>
      </c>
      <c r="O621" s="13">
        <v>42451</v>
      </c>
      <c r="P621" s="13">
        <v>42451</v>
      </c>
    </row>
    <row r="622" spans="1:16" ht="14.25">
      <c r="A622" s="10">
        <v>2016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3</v>
      </c>
      <c r="M622" s="8">
        <v>2019</v>
      </c>
      <c r="N622" s="9">
        <v>0</v>
      </c>
      <c r="O622" s="13">
        <v>42451</v>
      </c>
      <c r="P622" s="13">
        <v>42451</v>
      </c>
    </row>
    <row r="623" spans="1:16" ht="14.25">
      <c r="A623" s="10">
        <v>2016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7</v>
      </c>
      <c r="M623" s="8">
        <v>2023</v>
      </c>
      <c r="N623" s="9">
        <v>0</v>
      </c>
      <c r="O623" s="13">
        <v>42451</v>
      </c>
      <c r="P623" s="13">
        <v>42451</v>
      </c>
    </row>
    <row r="624" spans="1:16" ht="14.25">
      <c r="A624" s="10">
        <v>2016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6</v>
      </c>
      <c r="M624" s="8">
        <v>2022</v>
      </c>
      <c r="N624" s="9">
        <v>0</v>
      </c>
      <c r="O624" s="13">
        <v>42451</v>
      </c>
      <c r="P624" s="13">
        <v>42451</v>
      </c>
    </row>
    <row r="625" spans="1:16" ht="14.25">
      <c r="A625" s="10">
        <v>2016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3</v>
      </c>
      <c r="M625" s="8">
        <v>2019</v>
      </c>
      <c r="N625" s="9">
        <v>0</v>
      </c>
      <c r="O625" s="13">
        <v>42451</v>
      </c>
      <c r="P625" s="13">
        <v>42451</v>
      </c>
    </row>
    <row r="626" spans="1:16" ht="14.25">
      <c r="A626" s="10">
        <v>2016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2023</v>
      </c>
      <c r="N626" s="9">
        <v>0</v>
      </c>
      <c r="O626" s="13">
        <v>42451</v>
      </c>
      <c r="P626" s="13">
        <v>42451</v>
      </c>
    </row>
    <row r="627" spans="1:16" ht="14.25">
      <c r="A627" s="10">
        <v>2016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6</v>
      </c>
      <c r="M627" s="8">
        <v>2022</v>
      </c>
      <c r="N627" s="9">
        <v>0</v>
      </c>
      <c r="O627" s="13">
        <v>42451</v>
      </c>
      <c r="P627" s="13">
        <v>42451</v>
      </c>
    </row>
    <row r="628" spans="1:16" ht="14.25">
      <c r="A628" s="10">
        <v>2016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1</v>
      </c>
      <c r="M628" s="8">
        <v>2017</v>
      </c>
      <c r="N628" s="9">
        <v>0</v>
      </c>
      <c r="O628" s="13">
        <v>42451</v>
      </c>
      <c r="P628" s="13">
        <v>42451</v>
      </c>
    </row>
    <row r="629" spans="1:16" ht="14.25">
      <c r="A629" s="10">
        <v>2016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8</v>
      </c>
      <c r="M629" s="8">
        <v>2024</v>
      </c>
      <c r="N629" s="9">
        <v>0</v>
      </c>
      <c r="O629" s="13">
        <v>42451</v>
      </c>
      <c r="P629" s="13">
        <v>42451</v>
      </c>
    </row>
    <row r="630" spans="1:16" ht="14.25">
      <c r="A630" s="10">
        <v>2016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0</v>
      </c>
      <c r="M630" s="8">
        <v>2016</v>
      </c>
      <c r="N630" s="9">
        <v>0</v>
      </c>
      <c r="O630" s="13">
        <v>42451</v>
      </c>
      <c r="P630" s="13">
        <v>42451</v>
      </c>
    </row>
    <row r="631" spans="1:16" ht="14.25">
      <c r="A631" s="10">
        <v>2016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2</v>
      </c>
      <c r="M631" s="8">
        <v>2018</v>
      </c>
      <c r="N631" s="9">
        <v>0</v>
      </c>
      <c r="O631" s="13">
        <v>42451</v>
      </c>
      <c r="P631" s="13">
        <v>42451</v>
      </c>
    </row>
    <row r="632" spans="1:16" ht="14.25">
      <c r="A632" s="10">
        <v>2016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4</v>
      </c>
      <c r="M632" s="8">
        <v>2020</v>
      </c>
      <c r="N632" s="9">
        <v>0</v>
      </c>
      <c r="O632" s="13">
        <v>42451</v>
      </c>
      <c r="P632" s="13">
        <v>42451</v>
      </c>
    </row>
    <row r="633" spans="1:16" ht="14.25">
      <c r="A633" s="10">
        <v>2016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5</v>
      </c>
      <c r="M633" s="8">
        <v>2021</v>
      </c>
      <c r="N633" s="9">
        <v>0</v>
      </c>
      <c r="O633" s="13">
        <v>42451</v>
      </c>
      <c r="P633" s="13">
        <v>42451</v>
      </c>
    </row>
    <row r="634" spans="1:16" ht="14.25">
      <c r="A634" s="10">
        <v>2016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356</v>
      </c>
      <c r="J634" s="12" t="s">
        <v>78</v>
      </c>
      <c r="K634" s="12" t="b">
        <v>0</v>
      </c>
      <c r="L634" s="12">
        <v>6</v>
      </c>
      <c r="M634" s="8">
        <v>2022</v>
      </c>
      <c r="N634" s="9">
        <v>1910000</v>
      </c>
      <c r="O634" s="13">
        <v>42451</v>
      </c>
      <c r="P634" s="13">
        <v>42451</v>
      </c>
    </row>
    <row r="635" spans="1:16" ht="14.25">
      <c r="A635" s="10">
        <v>2016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356</v>
      </c>
      <c r="J635" s="12" t="s">
        <v>78</v>
      </c>
      <c r="K635" s="12" t="b">
        <v>0</v>
      </c>
      <c r="L635" s="12">
        <v>7</v>
      </c>
      <c r="M635" s="8">
        <v>2023</v>
      </c>
      <c r="N635" s="9">
        <v>1929000</v>
      </c>
      <c r="O635" s="13">
        <v>42451</v>
      </c>
      <c r="P635" s="13">
        <v>42451</v>
      </c>
    </row>
    <row r="636" spans="1:16" ht="14.25">
      <c r="A636" s="10">
        <v>2016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356</v>
      </c>
      <c r="J636" s="12" t="s">
        <v>78</v>
      </c>
      <c r="K636" s="12" t="b">
        <v>0</v>
      </c>
      <c r="L636" s="12">
        <v>4</v>
      </c>
      <c r="M636" s="8">
        <v>2020</v>
      </c>
      <c r="N636" s="9">
        <v>1872000</v>
      </c>
      <c r="O636" s="13">
        <v>42451</v>
      </c>
      <c r="P636" s="13">
        <v>42451</v>
      </c>
    </row>
    <row r="637" spans="1:16" ht="14.25">
      <c r="A637" s="10">
        <v>2016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356</v>
      </c>
      <c r="J637" s="12" t="s">
        <v>78</v>
      </c>
      <c r="K637" s="12" t="b">
        <v>0</v>
      </c>
      <c r="L637" s="12">
        <v>5</v>
      </c>
      <c r="M637" s="8">
        <v>2021</v>
      </c>
      <c r="N637" s="9">
        <v>1891000</v>
      </c>
      <c r="O637" s="13">
        <v>42451</v>
      </c>
      <c r="P637" s="13">
        <v>42451</v>
      </c>
    </row>
    <row r="638" spans="1:16" ht="14.25">
      <c r="A638" s="10">
        <v>2016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356</v>
      </c>
      <c r="J638" s="12" t="s">
        <v>78</v>
      </c>
      <c r="K638" s="12" t="b">
        <v>0</v>
      </c>
      <c r="L638" s="12">
        <v>0</v>
      </c>
      <c r="M638" s="8">
        <v>2016</v>
      </c>
      <c r="N638" s="9">
        <v>1740167.88</v>
      </c>
      <c r="O638" s="13">
        <v>42451</v>
      </c>
      <c r="P638" s="13">
        <v>42451</v>
      </c>
    </row>
    <row r="639" spans="1:16" ht="14.25">
      <c r="A639" s="10">
        <v>2016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356</v>
      </c>
      <c r="J639" s="12" t="s">
        <v>78</v>
      </c>
      <c r="K639" s="12" t="b">
        <v>0</v>
      </c>
      <c r="L639" s="12">
        <v>2</v>
      </c>
      <c r="M639" s="8">
        <v>2018</v>
      </c>
      <c r="N639" s="9">
        <v>1800000</v>
      </c>
      <c r="O639" s="13">
        <v>42451</v>
      </c>
      <c r="P639" s="13">
        <v>42451</v>
      </c>
    </row>
    <row r="640" spans="1:16" ht="14.25">
      <c r="A640" s="10">
        <v>2016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356</v>
      </c>
      <c r="J640" s="12" t="s">
        <v>78</v>
      </c>
      <c r="K640" s="12" t="b">
        <v>0</v>
      </c>
      <c r="L640" s="12">
        <v>3</v>
      </c>
      <c r="M640" s="8">
        <v>2019</v>
      </c>
      <c r="N640" s="9">
        <v>1836000</v>
      </c>
      <c r="O640" s="13">
        <v>42451</v>
      </c>
      <c r="P640" s="13">
        <v>42451</v>
      </c>
    </row>
    <row r="641" spans="1:16" ht="14.25">
      <c r="A641" s="10">
        <v>2016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356</v>
      </c>
      <c r="J641" s="12" t="s">
        <v>78</v>
      </c>
      <c r="K641" s="12" t="b">
        <v>0</v>
      </c>
      <c r="L641" s="12">
        <v>1</v>
      </c>
      <c r="M641" s="8">
        <v>2017</v>
      </c>
      <c r="N641" s="9">
        <v>1764000</v>
      </c>
      <c r="O641" s="13">
        <v>42451</v>
      </c>
      <c r="P641" s="13">
        <v>42451</v>
      </c>
    </row>
    <row r="642" spans="1:16" ht="14.25">
      <c r="A642" s="10">
        <v>2016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356</v>
      </c>
      <c r="J642" s="12" t="s">
        <v>78</v>
      </c>
      <c r="K642" s="12" t="b">
        <v>0</v>
      </c>
      <c r="L642" s="12">
        <v>8</v>
      </c>
      <c r="M642" s="8">
        <v>2024</v>
      </c>
      <c r="N642" s="9">
        <v>1949000</v>
      </c>
      <c r="O642" s="13">
        <v>42451</v>
      </c>
      <c r="P642" s="13">
        <v>42451</v>
      </c>
    </row>
    <row r="643" spans="1:16" ht="14.25">
      <c r="A643" s="10">
        <v>2016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2</v>
      </c>
      <c r="M643" s="8">
        <v>2018</v>
      </c>
      <c r="N643" s="9">
        <v>0</v>
      </c>
      <c r="O643" s="13">
        <v>42451</v>
      </c>
      <c r="P643" s="13">
        <v>42451</v>
      </c>
    </row>
    <row r="644" spans="1:16" ht="14.25">
      <c r="A644" s="10">
        <v>2016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3</v>
      </c>
      <c r="M644" s="8">
        <v>2019</v>
      </c>
      <c r="N644" s="9">
        <v>0</v>
      </c>
      <c r="O644" s="13">
        <v>42451</v>
      </c>
      <c r="P644" s="13">
        <v>42451</v>
      </c>
    </row>
    <row r="645" spans="1:16" ht="14.25">
      <c r="A645" s="10">
        <v>2016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4</v>
      </c>
      <c r="M645" s="8">
        <v>2020</v>
      </c>
      <c r="N645" s="9">
        <v>0</v>
      </c>
      <c r="O645" s="13">
        <v>42451</v>
      </c>
      <c r="P645" s="13">
        <v>42451</v>
      </c>
    </row>
    <row r="646" spans="1:16" ht="14.25">
      <c r="A646" s="10">
        <v>2016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8</v>
      </c>
      <c r="M646" s="8">
        <v>2024</v>
      </c>
      <c r="N646" s="9">
        <v>0</v>
      </c>
      <c r="O646" s="13">
        <v>42451</v>
      </c>
      <c r="P646" s="13">
        <v>42451</v>
      </c>
    </row>
    <row r="647" spans="1:16" ht="14.25">
      <c r="A647" s="10">
        <v>2016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1</v>
      </c>
      <c r="M647" s="8">
        <v>2017</v>
      </c>
      <c r="N647" s="9">
        <v>0</v>
      </c>
      <c r="O647" s="13">
        <v>42451</v>
      </c>
      <c r="P647" s="13">
        <v>42451</v>
      </c>
    </row>
    <row r="648" spans="1:16" ht="14.25">
      <c r="A648" s="10">
        <v>2016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7</v>
      </c>
      <c r="M648" s="8">
        <v>2023</v>
      </c>
      <c r="N648" s="9">
        <v>0</v>
      </c>
      <c r="O648" s="13">
        <v>42451</v>
      </c>
      <c r="P648" s="13">
        <v>42451</v>
      </c>
    </row>
    <row r="649" spans="1:16" ht="14.25">
      <c r="A649" s="10">
        <v>2016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5</v>
      </c>
      <c r="M649" s="8">
        <v>2021</v>
      </c>
      <c r="N649" s="9">
        <v>0</v>
      </c>
      <c r="O649" s="13">
        <v>42451</v>
      </c>
      <c r="P649" s="13">
        <v>42451</v>
      </c>
    </row>
    <row r="650" spans="1:16" ht="14.25">
      <c r="A650" s="10">
        <v>2016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0</v>
      </c>
      <c r="M650" s="8">
        <v>2016</v>
      </c>
      <c r="N650" s="9">
        <v>0</v>
      </c>
      <c r="O650" s="13">
        <v>42451</v>
      </c>
      <c r="P650" s="13">
        <v>42451</v>
      </c>
    </row>
    <row r="651" spans="1:16" ht="14.25">
      <c r="A651" s="10">
        <v>2016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6</v>
      </c>
      <c r="M651" s="8">
        <v>2022</v>
      </c>
      <c r="N651" s="9">
        <v>0</v>
      </c>
      <c r="O651" s="13">
        <v>42451</v>
      </c>
      <c r="P651" s="13">
        <v>42451</v>
      </c>
    </row>
    <row r="652" spans="1:16" ht="14.25">
      <c r="A652" s="10">
        <v>2016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483</v>
      </c>
      <c r="J652" s="12" t="s">
        <v>19</v>
      </c>
      <c r="K652" s="12" t="b">
        <v>0</v>
      </c>
      <c r="L652" s="12">
        <v>5</v>
      </c>
      <c r="M652" s="8">
        <v>2021</v>
      </c>
      <c r="N652" s="9">
        <v>26846585.12</v>
      </c>
      <c r="O652" s="13">
        <v>42451</v>
      </c>
      <c r="P652" s="13">
        <v>42451</v>
      </c>
    </row>
    <row r="653" spans="1:16" ht="14.25">
      <c r="A653" s="10">
        <v>2016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483</v>
      </c>
      <c r="J653" s="12" t="s">
        <v>19</v>
      </c>
      <c r="K653" s="12" t="b">
        <v>0</v>
      </c>
      <c r="L653" s="12">
        <v>6</v>
      </c>
      <c r="M653" s="8">
        <v>2022</v>
      </c>
      <c r="N653" s="9">
        <v>27122585.12</v>
      </c>
      <c r="O653" s="13">
        <v>42451</v>
      </c>
      <c r="P653" s="13">
        <v>42451</v>
      </c>
    </row>
    <row r="654" spans="1:16" ht="14.25">
      <c r="A654" s="10">
        <v>2016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483</v>
      </c>
      <c r="J654" s="12" t="s">
        <v>19</v>
      </c>
      <c r="K654" s="12" t="b">
        <v>0</v>
      </c>
      <c r="L654" s="12">
        <v>0</v>
      </c>
      <c r="M654" s="8">
        <v>2016</v>
      </c>
      <c r="N654" s="9">
        <v>26787281.12</v>
      </c>
      <c r="O654" s="13">
        <v>42451</v>
      </c>
      <c r="P654" s="13">
        <v>42451</v>
      </c>
    </row>
    <row r="655" spans="1:16" ht="14.25">
      <c r="A655" s="10">
        <v>2016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483</v>
      </c>
      <c r="J655" s="12" t="s">
        <v>19</v>
      </c>
      <c r="K655" s="12" t="b">
        <v>0</v>
      </c>
      <c r="L655" s="12">
        <v>1</v>
      </c>
      <c r="M655" s="8">
        <v>2017</v>
      </c>
      <c r="N655" s="9">
        <v>24670001.12</v>
      </c>
      <c r="O655" s="13">
        <v>42451</v>
      </c>
      <c r="P655" s="13">
        <v>42451</v>
      </c>
    </row>
    <row r="656" spans="1:16" ht="14.25">
      <c r="A656" s="10">
        <v>2016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483</v>
      </c>
      <c r="J656" s="12" t="s">
        <v>19</v>
      </c>
      <c r="K656" s="12" t="b">
        <v>0</v>
      </c>
      <c r="L656" s="12">
        <v>3</v>
      </c>
      <c r="M656" s="8">
        <v>2019</v>
      </c>
      <c r="N656" s="9">
        <v>25846585.12</v>
      </c>
      <c r="O656" s="13">
        <v>42451</v>
      </c>
      <c r="P656" s="13">
        <v>42451</v>
      </c>
    </row>
    <row r="657" spans="1:16" ht="14.25">
      <c r="A657" s="10">
        <v>2016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483</v>
      </c>
      <c r="J657" s="12" t="s">
        <v>19</v>
      </c>
      <c r="K657" s="12" t="b">
        <v>0</v>
      </c>
      <c r="L657" s="12">
        <v>4</v>
      </c>
      <c r="M657" s="8">
        <v>2020</v>
      </c>
      <c r="N657" s="9">
        <v>26574585.12</v>
      </c>
      <c r="O657" s="13">
        <v>42451</v>
      </c>
      <c r="P657" s="13">
        <v>42451</v>
      </c>
    </row>
    <row r="658" spans="1:16" ht="14.25">
      <c r="A658" s="10">
        <v>2016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483</v>
      </c>
      <c r="J658" s="12" t="s">
        <v>19</v>
      </c>
      <c r="K658" s="12" t="b">
        <v>0</v>
      </c>
      <c r="L658" s="12">
        <v>8</v>
      </c>
      <c r="M658" s="8">
        <v>2024</v>
      </c>
      <c r="N658" s="9">
        <v>27791931.24</v>
      </c>
      <c r="O658" s="13">
        <v>42451</v>
      </c>
      <c r="P658" s="13">
        <v>42451</v>
      </c>
    </row>
    <row r="659" spans="1:16" ht="14.25">
      <c r="A659" s="10">
        <v>2016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483</v>
      </c>
      <c r="J659" s="12" t="s">
        <v>19</v>
      </c>
      <c r="K659" s="12" t="b">
        <v>0</v>
      </c>
      <c r="L659" s="12">
        <v>7</v>
      </c>
      <c r="M659" s="8">
        <v>2023</v>
      </c>
      <c r="N659" s="9">
        <v>27478385.12</v>
      </c>
      <c r="O659" s="13">
        <v>42451</v>
      </c>
      <c r="P659" s="13">
        <v>42451</v>
      </c>
    </row>
    <row r="660" spans="1:16" ht="14.25">
      <c r="A660" s="10">
        <v>2016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483</v>
      </c>
      <c r="J660" s="12" t="s">
        <v>19</v>
      </c>
      <c r="K660" s="12" t="b">
        <v>0</v>
      </c>
      <c r="L660" s="12">
        <v>2</v>
      </c>
      <c r="M660" s="8">
        <v>2018</v>
      </c>
      <c r="N660" s="9">
        <v>25232620.55</v>
      </c>
      <c r="O660" s="13">
        <v>42451</v>
      </c>
      <c r="P660" s="13">
        <v>42451</v>
      </c>
    </row>
    <row r="661" spans="1:16" ht="14.25">
      <c r="A661" s="10">
        <v>2016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370</v>
      </c>
      <c r="K661" s="12" t="b">
        <v>1</v>
      </c>
      <c r="L661" s="12">
        <v>0</v>
      </c>
      <c r="M661" s="8">
        <v>2016</v>
      </c>
      <c r="N661" s="9">
        <v>0.1268</v>
      </c>
      <c r="O661" s="13">
        <v>42451</v>
      </c>
      <c r="P661" s="13">
        <v>42451</v>
      </c>
    </row>
    <row r="662" spans="1:16" ht="14.25">
      <c r="A662" s="10">
        <v>2016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370</v>
      </c>
      <c r="K662" s="12" t="b">
        <v>1</v>
      </c>
      <c r="L662" s="12">
        <v>6</v>
      </c>
      <c r="M662" s="8">
        <v>2022</v>
      </c>
      <c r="N662" s="9">
        <v>0.0687</v>
      </c>
      <c r="O662" s="13">
        <v>42451</v>
      </c>
      <c r="P662" s="13">
        <v>42451</v>
      </c>
    </row>
    <row r="663" spans="1:16" ht="14.25">
      <c r="A663" s="10">
        <v>2016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370</v>
      </c>
      <c r="K663" s="12" t="b">
        <v>1</v>
      </c>
      <c r="L663" s="12">
        <v>1</v>
      </c>
      <c r="M663" s="8">
        <v>2017</v>
      </c>
      <c r="N663" s="9">
        <v>0.1405</v>
      </c>
      <c r="O663" s="13">
        <v>42451</v>
      </c>
      <c r="P663" s="13">
        <v>42451</v>
      </c>
    </row>
    <row r="664" spans="1:16" ht="14.25">
      <c r="A664" s="10">
        <v>2016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370</v>
      </c>
      <c r="K664" s="12" t="b">
        <v>1</v>
      </c>
      <c r="L664" s="12">
        <v>8</v>
      </c>
      <c r="M664" s="8">
        <v>2024</v>
      </c>
      <c r="N664" s="9">
        <v>0.0687</v>
      </c>
      <c r="O664" s="13">
        <v>42451</v>
      </c>
      <c r="P664" s="13">
        <v>42451</v>
      </c>
    </row>
    <row r="665" spans="1:16" ht="14.25">
      <c r="A665" s="10">
        <v>2016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370</v>
      </c>
      <c r="K665" s="12" t="b">
        <v>1</v>
      </c>
      <c r="L665" s="12">
        <v>3</v>
      </c>
      <c r="M665" s="8">
        <v>2019</v>
      </c>
      <c r="N665" s="9">
        <v>0.0936</v>
      </c>
      <c r="O665" s="13">
        <v>42451</v>
      </c>
      <c r="P665" s="13">
        <v>42451</v>
      </c>
    </row>
    <row r="666" spans="1:16" ht="14.25">
      <c r="A666" s="10">
        <v>2016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370</v>
      </c>
      <c r="K666" s="12" t="b">
        <v>1</v>
      </c>
      <c r="L666" s="12">
        <v>4</v>
      </c>
      <c r="M666" s="8">
        <v>2020</v>
      </c>
      <c r="N666" s="9">
        <v>0.0688</v>
      </c>
      <c r="O666" s="13">
        <v>42451</v>
      </c>
      <c r="P666" s="13">
        <v>42451</v>
      </c>
    </row>
    <row r="667" spans="1:16" ht="14.25">
      <c r="A667" s="10">
        <v>2016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370</v>
      </c>
      <c r="K667" s="12" t="b">
        <v>1</v>
      </c>
      <c r="L667" s="12">
        <v>7</v>
      </c>
      <c r="M667" s="8">
        <v>2023</v>
      </c>
      <c r="N667" s="9">
        <v>0.0687</v>
      </c>
      <c r="O667" s="13">
        <v>42451</v>
      </c>
      <c r="P667" s="13">
        <v>42451</v>
      </c>
    </row>
    <row r="668" spans="1:16" ht="14.25">
      <c r="A668" s="10">
        <v>2016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370</v>
      </c>
      <c r="K668" s="12" t="b">
        <v>1</v>
      </c>
      <c r="L668" s="12">
        <v>2</v>
      </c>
      <c r="M668" s="8">
        <v>2018</v>
      </c>
      <c r="N668" s="9">
        <v>0.1162</v>
      </c>
      <c r="O668" s="13">
        <v>42451</v>
      </c>
      <c r="P668" s="13">
        <v>42451</v>
      </c>
    </row>
    <row r="669" spans="1:16" ht="14.25">
      <c r="A669" s="10">
        <v>2016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370</v>
      </c>
      <c r="K669" s="12" t="b">
        <v>1</v>
      </c>
      <c r="L669" s="12">
        <v>5</v>
      </c>
      <c r="M669" s="8">
        <v>2021</v>
      </c>
      <c r="N669" s="9">
        <v>0.0688</v>
      </c>
      <c r="O669" s="13">
        <v>42451</v>
      </c>
      <c r="P669" s="13">
        <v>42451</v>
      </c>
    </row>
    <row r="670" spans="1:16" ht="14.25">
      <c r="A670" s="10">
        <v>2016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340</v>
      </c>
      <c r="K670" s="12" t="b">
        <v>1</v>
      </c>
      <c r="L670" s="12">
        <v>2</v>
      </c>
      <c r="M670" s="8">
        <v>2018</v>
      </c>
      <c r="N670" s="9">
        <v>244000</v>
      </c>
      <c r="O670" s="13">
        <v>42451</v>
      </c>
      <c r="P670" s="13">
        <v>42451</v>
      </c>
    </row>
    <row r="671" spans="1:16" ht="14.25">
      <c r="A671" s="10">
        <v>2016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340</v>
      </c>
      <c r="K671" s="12" t="b">
        <v>1</v>
      </c>
      <c r="L671" s="12">
        <v>3</v>
      </c>
      <c r="M671" s="8">
        <v>2019</v>
      </c>
      <c r="N671" s="9">
        <v>202000</v>
      </c>
      <c r="O671" s="13">
        <v>42451</v>
      </c>
      <c r="P671" s="13">
        <v>42451</v>
      </c>
    </row>
    <row r="672" spans="1:16" ht="14.25">
      <c r="A672" s="10">
        <v>2016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340</v>
      </c>
      <c r="K672" s="12" t="b">
        <v>1</v>
      </c>
      <c r="L672" s="12">
        <v>1</v>
      </c>
      <c r="M672" s="8">
        <v>2017</v>
      </c>
      <c r="N672" s="9">
        <v>255000</v>
      </c>
      <c r="O672" s="13">
        <v>42451</v>
      </c>
      <c r="P672" s="13">
        <v>42451</v>
      </c>
    </row>
    <row r="673" spans="1:16" ht="14.25">
      <c r="A673" s="10">
        <v>2016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340</v>
      </c>
      <c r="K673" s="12" t="b">
        <v>1</v>
      </c>
      <c r="L673" s="12">
        <v>8</v>
      </c>
      <c r="M673" s="8">
        <v>2024</v>
      </c>
      <c r="N673" s="9">
        <v>18000</v>
      </c>
      <c r="O673" s="13">
        <v>42451</v>
      </c>
      <c r="P673" s="13">
        <v>42451</v>
      </c>
    </row>
    <row r="674" spans="1:16" ht="14.25">
      <c r="A674" s="10">
        <v>2016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340</v>
      </c>
      <c r="K674" s="12" t="b">
        <v>1</v>
      </c>
      <c r="L674" s="12">
        <v>7</v>
      </c>
      <c r="M674" s="8">
        <v>2023</v>
      </c>
      <c r="N674" s="9">
        <v>51000</v>
      </c>
      <c r="O674" s="13">
        <v>42451</v>
      </c>
      <c r="P674" s="13">
        <v>42451</v>
      </c>
    </row>
    <row r="675" spans="1:16" ht="14.25">
      <c r="A675" s="10">
        <v>2016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340</v>
      </c>
      <c r="K675" s="12" t="b">
        <v>1</v>
      </c>
      <c r="L675" s="12">
        <v>4</v>
      </c>
      <c r="M675" s="8">
        <v>2020</v>
      </c>
      <c r="N675" s="9">
        <v>163000</v>
      </c>
      <c r="O675" s="13">
        <v>42451</v>
      </c>
      <c r="P675" s="13">
        <v>42451</v>
      </c>
    </row>
    <row r="676" spans="1:16" ht="14.25">
      <c r="A676" s="10">
        <v>2016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340</v>
      </c>
      <c r="K676" s="12" t="b">
        <v>1</v>
      </c>
      <c r="L676" s="12">
        <v>5</v>
      </c>
      <c r="M676" s="8">
        <v>2021</v>
      </c>
      <c r="N676" s="9">
        <v>130000</v>
      </c>
      <c r="O676" s="13">
        <v>42451</v>
      </c>
      <c r="P676" s="13">
        <v>42451</v>
      </c>
    </row>
    <row r="677" spans="1:16" ht="14.25">
      <c r="A677" s="10">
        <v>2016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340</v>
      </c>
      <c r="K677" s="12" t="b">
        <v>1</v>
      </c>
      <c r="L677" s="12">
        <v>0</v>
      </c>
      <c r="M677" s="8">
        <v>2016</v>
      </c>
      <c r="N677" s="9">
        <v>265000</v>
      </c>
      <c r="O677" s="13">
        <v>42451</v>
      </c>
      <c r="P677" s="13">
        <v>42451</v>
      </c>
    </row>
    <row r="678" spans="1:16" ht="14.25">
      <c r="A678" s="10">
        <v>2016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340</v>
      </c>
      <c r="K678" s="12" t="b">
        <v>1</v>
      </c>
      <c r="L678" s="12">
        <v>6</v>
      </c>
      <c r="M678" s="8">
        <v>2022</v>
      </c>
      <c r="N678" s="9">
        <v>90000</v>
      </c>
      <c r="O678" s="13">
        <v>42451</v>
      </c>
      <c r="P678" s="13">
        <v>42451</v>
      </c>
    </row>
    <row r="679" spans="1:16" ht="14.25">
      <c r="A679" s="10">
        <v>2016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7</v>
      </c>
      <c r="M679" s="8">
        <v>2023</v>
      </c>
      <c r="N679" s="9">
        <v>0</v>
      </c>
      <c r="O679" s="13">
        <v>42451</v>
      </c>
      <c r="P679" s="13">
        <v>42451</v>
      </c>
    </row>
    <row r="680" spans="1:16" ht="14.25">
      <c r="A680" s="10">
        <v>2016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6</v>
      </c>
      <c r="M680" s="8">
        <v>2022</v>
      </c>
      <c r="N680" s="9">
        <v>0</v>
      </c>
      <c r="O680" s="13">
        <v>42451</v>
      </c>
      <c r="P680" s="13">
        <v>42451</v>
      </c>
    </row>
    <row r="681" spans="1:16" ht="14.25">
      <c r="A681" s="10">
        <v>2016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0</v>
      </c>
      <c r="M681" s="8">
        <v>2016</v>
      </c>
      <c r="N681" s="9">
        <v>0</v>
      </c>
      <c r="O681" s="13">
        <v>42451</v>
      </c>
      <c r="P681" s="13">
        <v>42451</v>
      </c>
    </row>
    <row r="682" spans="1:16" ht="14.25">
      <c r="A682" s="10">
        <v>2016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5</v>
      </c>
      <c r="M682" s="8">
        <v>2021</v>
      </c>
      <c r="N682" s="9">
        <v>0</v>
      </c>
      <c r="O682" s="13">
        <v>42451</v>
      </c>
      <c r="P682" s="13">
        <v>42451</v>
      </c>
    </row>
    <row r="683" spans="1:16" ht="14.25">
      <c r="A683" s="10">
        <v>2016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2</v>
      </c>
      <c r="M683" s="8">
        <v>2018</v>
      </c>
      <c r="N683" s="9">
        <v>0</v>
      </c>
      <c r="O683" s="13">
        <v>42451</v>
      </c>
      <c r="P683" s="13">
        <v>42451</v>
      </c>
    </row>
    <row r="684" spans="1:16" ht="14.25">
      <c r="A684" s="10">
        <v>2016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4</v>
      </c>
      <c r="M684" s="8">
        <v>2020</v>
      </c>
      <c r="N684" s="9">
        <v>0</v>
      </c>
      <c r="O684" s="13">
        <v>42451</v>
      </c>
      <c r="P684" s="13">
        <v>42451</v>
      </c>
    </row>
    <row r="685" spans="1:16" ht="14.25">
      <c r="A685" s="10">
        <v>2016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8</v>
      </c>
      <c r="M685" s="8">
        <v>2024</v>
      </c>
      <c r="N685" s="9">
        <v>0</v>
      </c>
      <c r="O685" s="13">
        <v>42451</v>
      </c>
      <c r="P685" s="13">
        <v>42451</v>
      </c>
    </row>
    <row r="686" spans="1:16" ht="14.25">
      <c r="A686" s="10">
        <v>2016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1</v>
      </c>
      <c r="M686" s="8">
        <v>2017</v>
      </c>
      <c r="N686" s="9">
        <v>0</v>
      </c>
      <c r="O686" s="13">
        <v>42451</v>
      </c>
      <c r="P686" s="13">
        <v>42451</v>
      </c>
    </row>
    <row r="687" spans="1:16" ht="14.25">
      <c r="A687" s="10">
        <v>2016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3</v>
      </c>
      <c r="M687" s="8">
        <v>2019</v>
      </c>
      <c r="N687" s="9">
        <v>0</v>
      </c>
      <c r="O687" s="13">
        <v>42451</v>
      </c>
      <c r="P687" s="13">
        <v>42451</v>
      </c>
    </row>
    <row r="688" spans="1:16" ht="14.25">
      <c r="A688" s="10">
        <v>2016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6</v>
      </c>
      <c r="M688" s="8">
        <v>2022</v>
      </c>
      <c r="N688" s="9">
        <v>663414.88</v>
      </c>
      <c r="O688" s="13">
        <v>42451</v>
      </c>
      <c r="P688" s="13">
        <v>42451</v>
      </c>
    </row>
    <row r="689" spans="1:16" ht="14.25">
      <c r="A689" s="10">
        <v>2016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7</v>
      </c>
      <c r="M689" s="8">
        <v>2023</v>
      </c>
      <c r="N689" s="9">
        <v>585614.88</v>
      </c>
      <c r="O689" s="13">
        <v>42451</v>
      </c>
      <c r="P689" s="13">
        <v>42451</v>
      </c>
    </row>
    <row r="690" spans="1:16" ht="14.25">
      <c r="A690" s="10">
        <v>2016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0</v>
      </c>
      <c r="M690" s="8">
        <v>2016</v>
      </c>
      <c r="N690" s="9">
        <v>947266.88</v>
      </c>
      <c r="O690" s="13">
        <v>42451</v>
      </c>
      <c r="P690" s="13">
        <v>42451</v>
      </c>
    </row>
    <row r="691" spans="1:16" ht="14.25">
      <c r="A691" s="10">
        <v>2016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5</v>
      </c>
      <c r="M691" s="8">
        <v>2021</v>
      </c>
      <c r="N691" s="9">
        <v>663414.88</v>
      </c>
      <c r="O691" s="13">
        <v>42451</v>
      </c>
      <c r="P691" s="13">
        <v>42451</v>
      </c>
    </row>
    <row r="692" spans="1:16" ht="14.25">
      <c r="A692" s="10">
        <v>2016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2</v>
      </c>
      <c r="M692" s="8">
        <v>2018</v>
      </c>
      <c r="N692" s="9">
        <v>947379.45</v>
      </c>
      <c r="O692" s="13">
        <v>42451</v>
      </c>
      <c r="P692" s="13">
        <v>42451</v>
      </c>
    </row>
    <row r="693" spans="1:16" ht="14.25">
      <c r="A693" s="10">
        <v>2016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3</v>
      </c>
      <c r="M693" s="8">
        <v>2019</v>
      </c>
      <c r="N693" s="9">
        <v>857414.88</v>
      </c>
      <c r="O693" s="13">
        <v>42451</v>
      </c>
      <c r="P693" s="13">
        <v>42451</v>
      </c>
    </row>
    <row r="694" spans="1:16" ht="14.25">
      <c r="A694" s="10">
        <v>2016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4</v>
      </c>
      <c r="M694" s="8">
        <v>2020</v>
      </c>
      <c r="N694" s="9">
        <v>663414.88</v>
      </c>
      <c r="O694" s="13">
        <v>42451</v>
      </c>
      <c r="P694" s="13">
        <v>42451</v>
      </c>
    </row>
    <row r="695" spans="1:16" ht="14.25">
      <c r="A695" s="10">
        <v>2016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1</v>
      </c>
      <c r="M695" s="8">
        <v>2017</v>
      </c>
      <c r="N695" s="9">
        <v>996998.88</v>
      </c>
      <c r="O695" s="13">
        <v>42451</v>
      </c>
      <c r="P695" s="13">
        <v>42451</v>
      </c>
    </row>
    <row r="696" spans="1:16" ht="14.25">
      <c r="A696" s="10">
        <v>2016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8</v>
      </c>
      <c r="M696" s="8">
        <v>2024</v>
      </c>
      <c r="N696" s="9">
        <v>553068.76</v>
      </c>
      <c r="O696" s="13">
        <v>42451</v>
      </c>
      <c r="P696" s="13">
        <v>42451</v>
      </c>
    </row>
    <row r="697" spans="1:16" ht="14.25">
      <c r="A697" s="10">
        <v>2016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6</v>
      </c>
      <c r="M697" s="8">
        <v>2022</v>
      </c>
      <c r="N697" s="9">
        <v>0</v>
      </c>
      <c r="O697" s="13">
        <v>42451</v>
      </c>
      <c r="P697" s="13">
        <v>42451</v>
      </c>
    </row>
    <row r="698" spans="1:16" ht="14.25">
      <c r="A698" s="10">
        <v>2016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1</v>
      </c>
      <c r="M698" s="8">
        <v>2017</v>
      </c>
      <c r="N698" s="9">
        <v>2110000</v>
      </c>
      <c r="O698" s="13">
        <v>42451</v>
      </c>
      <c r="P698" s="13">
        <v>42451</v>
      </c>
    </row>
    <row r="699" spans="1:16" ht="14.25">
      <c r="A699" s="10">
        <v>2016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3</v>
      </c>
      <c r="M699" s="8">
        <v>2019</v>
      </c>
      <c r="N699" s="9">
        <v>2196000</v>
      </c>
      <c r="O699" s="13">
        <v>42451</v>
      </c>
      <c r="P699" s="13">
        <v>42451</v>
      </c>
    </row>
    <row r="700" spans="1:16" ht="14.25">
      <c r="A700" s="10">
        <v>2016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2021</v>
      </c>
      <c r="N700" s="9">
        <v>0</v>
      </c>
      <c r="O700" s="13">
        <v>42451</v>
      </c>
      <c r="P700" s="13">
        <v>42451</v>
      </c>
    </row>
    <row r="701" spans="1:16" ht="14.25">
      <c r="A701" s="10">
        <v>2016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2</v>
      </c>
      <c r="M701" s="8">
        <v>2018</v>
      </c>
      <c r="N701" s="9">
        <v>2153000</v>
      </c>
      <c r="O701" s="13">
        <v>42451</v>
      </c>
      <c r="P701" s="13">
        <v>42451</v>
      </c>
    </row>
    <row r="702" spans="1:16" ht="14.25">
      <c r="A702" s="10">
        <v>2016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8</v>
      </c>
      <c r="M702" s="8">
        <v>2024</v>
      </c>
      <c r="N702" s="9">
        <v>0</v>
      </c>
      <c r="O702" s="13">
        <v>42451</v>
      </c>
      <c r="P702" s="13">
        <v>42451</v>
      </c>
    </row>
    <row r="703" spans="1:16" ht="14.25">
      <c r="A703" s="10">
        <v>2016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7</v>
      </c>
      <c r="M703" s="8">
        <v>2023</v>
      </c>
      <c r="N703" s="9">
        <v>0</v>
      </c>
      <c r="O703" s="13">
        <v>42451</v>
      </c>
      <c r="P703" s="13">
        <v>42451</v>
      </c>
    </row>
    <row r="704" spans="1:16" ht="14.25">
      <c r="A704" s="10">
        <v>2016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0</v>
      </c>
      <c r="M704" s="8">
        <v>2016</v>
      </c>
      <c r="N704" s="9">
        <v>2102632</v>
      </c>
      <c r="O704" s="13">
        <v>42451</v>
      </c>
      <c r="P704" s="13">
        <v>42451</v>
      </c>
    </row>
    <row r="705" spans="1:16" ht="14.25">
      <c r="A705" s="10">
        <v>2016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4</v>
      </c>
      <c r="M705" s="8">
        <v>2020</v>
      </c>
      <c r="N705" s="9">
        <v>0</v>
      </c>
      <c r="O705" s="13">
        <v>42451</v>
      </c>
      <c r="P705" s="13">
        <v>42451</v>
      </c>
    </row>
    <row r="706" spans="1:16" ht="14.25">
      <c r="A706" s="10">
        <v>2016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1</v>
      </c>
      <c r="M706" s="8">
        <v>2017</v>
      </c>
      <c r="N706" s="9">
        <v>0</v>
      </c>
      <c r="O706" s="13">
        <v>42451</v>
      </c>
      <c r="P706" s="13">
        <v>42451</v>
      </c>
    </row>
    <row r="707" spans="1:16" ht="14.25">
      <c r="A707" s="10">
        <v>2016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8</v>
      </c>
      <c r="M707" s="8">
        <v>2024</v>
      </c>
      <c r="N707" s="9">
        <v>0</v>
      </c>
      <c r="O707" s="13">
        <v>42451</v>
      </c>
      <c r="P707" s="13">
        <v>42451</v>
      </c>
    </row>
    <row r="708" spans="1:16" ht="14.25">
      <c r="A708" s="10">
        <v>2016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7</v>
      </c>
      <c r="M708" s="8">
        <v>2023</v>
      </c>
      <c r="N708" s="9">
        <v>0</v>
      </c>
      <c r="O708" s="13">
        <v>42451</v>
      </c>
      <c r="P708" s="13">
        <v>42451</v>
      </c>
    </row>
    <row r="709" spans="1:16" ht="14.25">
      <c r="A709" s="10">
        <v>2016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3</v>
      </c>
      <c r="M709" s="8">
        <v>2019</v>
      </c>
      <c r="N709" s="9">
        <v>0</v>
      </c>
      <c r="O709" s="13">
        <v>42451</v>
      </c>
      <c r="P709" s="13">
        <v>42451</v>
      </c>
    </row>
    <row r="710" spans="1:16" ht="14.25">
      <c r="A710" s="10">
        <v>2016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0</v>
      </c>
      <c r="M710" s="8">
        <v>2016</v>
      </c>
      <c r="N710" s="9">
        <v>0</v>
      </c>
      <c r="O710" s="13">
        <v>42451</v>
      </c>
      <c r="P710" s="13">
        <v>42451</v>
      </c>
    </row>
    <row r="711" spans="1:16" ht="14.25">
      <c r="A711" s="10">
        <v>2016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2</v>
      </c>
      <c r="M711" s="8">
        <v>2018</v>
      </c>
      <c r="N711" s="9">
        <v>0</v>
      </c>
      <c r="O711" s="13">
        <v>42451</v>
      </c>
      <c r="P711" s="13">
        <v>42451</v>
      </c>
    </row>
    <row r="712" spans="1:16" ht="14.25">
      <c r="A712" s="10">
        <v>2016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6</v>
      </c>
      <c r="M712" s="8">
        <v>2022</v>
      </c>
      <c r="N712" s="9">
        <v>0</v>
      </c>
      <c r="O712" s="13">
        <v>42451</v>
      </c>
      <c r="P712" s="13">
        <v>42451</v>
      </c>
    </row>
    <row r="713" spans="1:16" ht="14.25">
      <c r="A713" s="10">
        <v>2016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5</v>
      </c>
      <c r="M713" s="8">
        <v>2021</v>
      </c>
      <c r="N713" s="9">
        <v>0</v>
      </c>
      <c r="O713" s="13">
        <v>42451</v>
      </c>
      <c r="P713" s="13">
        <v>42451</v>
      </c>
    </row>
    <row r="714" spans="1:16" ht="14.25">
      <c r="A714" s="10">
        <v>2016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4</v>
      </c>
      <c r="M714" s="8">
        <v>2020</v>
      </c>
      <c r="N714" s="9">
        <v>0</v>
      </c>
      <c r="O714" s="13">
        <v>42451</v>
      </c>
      <c r="P714" s="13">
        <v>42451</v>
      </c>
    </row>
    <row r="715" spans="1:16" ht="14.25">
      <c r="A715" s="10">
        <v>2016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5</v>
      </c>
      <c r="M715" s="8">
        <v>2021</v>
      </c>
      <c r="N715" s="9">
        <v>1227585.12</v>
      </c>
      <c r="O715" s="13">
        <v>42451</v>
      </c>
      <c r="P715" s="13">
        <v>42451</v>
      </c>
    </row>
    <row r="716" spans="1:16" ht="14.25">
      <c r="A716" s="10">
        <v>2016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7</v>
      </c>
      <c r="M716" s="8">
        <v>2023</v>
      </c>
      <c r="N716" s="9">
        <v>1343385.12</v>
      </c>
      <c r="O716" s="13">
        <v>42451</v>
      </c>
      <c r="P716" s="13">
        <v>42451</v>
      </c>
    </row>
    <row r="717" spans="1:16" ht="14.25">
      <c r="A717" s="10">
        <v>2016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0</v>
      </c>
      <c r="M717" s="8">
        <v>2016</v>
      </c>
      <c r="N717" s="9">
        <v>1341916</v>
      </c>
      <c r="O717" s="13">
        <v>42451</v>
      </c>
      <c r="P717" s="13">
        <v>42451</v>
      </c>
    </row>
    <row r="718" spans="1:16" ht="14.25">
      <c r="A718" s="10">
        <v>2016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42451</v>
      </c>
      <c r="P718" s="13">
        <v>42451</v>
      </c>
    </row>
    <row r="719" spans="1:16" ht="14.25">
      <c r="A719" s="10">
        <v>2016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2</v>
      </c>
      <c r="M719" s="8">
        <v>2018</v>
      </c>
      <c r="N719" s="9">
        <v>852620.55</v>
      </c>
      <c r="O719" s="13">
        <v>42451</v>
      </c>
      <c r="P719" s="13">
        <v>42451</v>
      </c>
    </row>
    <row r="720" spans="1:16" ht="14.25">
      <c r="A720" s="10">
        <v>2016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4</v>
      </c>
      <c r="M720" s="8">
        <v>2020</v>
      </c>
      <c r="N720" s="9">
        <v>1208585.12</v>
      </c>
      <c r="O720" s="13">
        <v>42451</v>
      </c>
      <c r="P720" s="13">
        <v>42451</v>
      </c>
    </row>
    <row r="721" spans="1:16" ht="14.25">
      <c r="A721" s="10">
        <v>2016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3</v>
      </c>
      <c r="M721" s="8">
        <v>2019</v>
      </c>
      <c r="N721" s="9">
        <v>978585.12</v>
      </c>
      <c r="O721" s="13">
        <v>42451</v>
      </c>
      <c r="P721" s="13">
        <v>42451</v>
      </c>
    </row>
    <row r="722" spans="1:16" ht="14.25">
      <c r="A722" s="10">
        <v>2016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8</v>
      </c>
      <c r="M722" s="8">
        <v>2024</v>
      </c>
      <c r="N722" s="9">
        <v>1394939.16</v>
      </c>
      <c r="O722" s="13">
        <v>42451</v>
      </c>
      <c r="P722" s="13">
        <v>42451</v>
      </c>
    </row>
    <row r="723" spans="1:16" ht="14.25">
      <c r="A723" s="10">
        <v>2016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6</v>
      </c>
      <c r="M723" s="8">
        <v>2022</v>
      </c>
      <c r="N723" s="9">
        <v>1246585.12</v>
      </c>
      <c r="O723" s="13">
        <v>42451</v>
      </c>
      <c r="P723" s="13">
        <v>42451</v>
      </c>
    </row>
    <row r="724" spans="1:16" ht="14.25">
      <c r="A724" s="10">
        <v>2016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6</v>
      </c>
      <c r="M724" s="8">
        <v>2022</v>
      </c>
      <c r="N724" s="9">
        <v>0</v>
      </c>
      <c r="O724" s="13">
        <v>42451</v>
      </c>
      <c r="P724" s="13">
        <v>42451</v>
      </c>
    </row>
    <row r="725" spans="1:16" ht="14.25">
      <c r="A725" s="10">
        <v>2016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0</v>
      </c>
      <c r="M725" s="8">
        <v>2016</v>
      </c>
      <c r="N725" s="9">
        <v>0</v>
      </c>
      <c r="O725" s="13">
        <v>42451</v>
      </c>
      <c r="P725" s="13">
        <v>42451</v>
      </c>
    </row>
    <row r="726" spans="1:16" ht="14.25">
      <c r="A726" s="10">
        <v>2016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1</v>
      </c>
      <c r="M726" s="8">
        <v>2017</v>
      </c>
      <c r="N726" s="9">
        <v>0</v>
      </c>
      <c r="O726" s="13">
        <v>42451</v>
      </c>
      <c r="P726" s="13">
        <v>42451</v>
      </c>
    </row>
    <row r="727" spans="1:16" ht="14.25">
      <c r="A727" s="10">
        <v>2016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4</v>
      </c>
      <c r="M727" s="8">
        <v>2020</v>
      </c>
      <c r="N727" s="9">
        <v>0</v>
      </c>
      <c r="O727" s="13">
        <v>42451</v>
      </c>
      <c r="P727" s="13">
        <v>42451</v>
      </c>
    </row>
    <row r="728" spans="1:16" ht="14.25">
      <c r="A728" s="10">
        <v>2016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7</v>
      </c>
      <c r="M728" s="8">
        <v>2023</v>
      </c>
      <c r="N728" s="9">
        <v>0</v>
      </c>
      <c r="O728" s="13">
        <v>42451</v>
      </c>
      <c r="P728" s="13">
        <v>42451</v>
      </c>
    </row>
    <row r="729" spans="1:16" ht="14.25">
      <c r="A729" s="10">
        <v>2016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2</v>
      </c>
      <c r="M729" s="8">
        <v>2018</v>
      </c>
      <c r="N729" s="9">
        <v>0</v>
      </c>
      <c r="O729" s="13">
        <v>42451</v>
      </c>
      <c r="P729" s="13">
        <v>42451</v>
      </c>
    </row>
    <row r="730" spans="1:16" ht="14.25">
      <c r="A730" s="10">
        <v>2016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3</v>
      </c>
      <c r="M730" s="8">
        <v>2019</v>
      </c>
      <c r="N730" s="9">
        <v>0</v>
      </c>
      <c r="O730" s="13">
        <v>42451</v>
      </c>
      <c r="P730" s="13">
        <v>42451</v>
      </c>
    </row>
    <row r="731" spans="1:16" ht="14.25">
      <c r="A731" s="10">
        <v>2016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8</v>
      </c>
      <c r="M731" s="8">
        <v>2024</v>
      </c>
      <c r="N731" s="9">
        <v>0</v>
      </c>
      <c r="O731" s="13">
        <v>42451</v>
      </c>
      <c r="P731" s="13">
        <v>42451</v>
      </c>
    </row>
    <row r="732" spans="1:16" ht="14.25">
      <c r="A732" s="10">
        <v>2016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5</v>
      </c>
      <c r="M732" s="8">
        <v>2021</v>
      </c>
      <c r="N732" s="9">
        <v>0</v>
      </c>
      <c r="O732" s="13">
        <v>42451</v>
      </c>
      <c r="P732" s="13">
        <v>42451</v>
      </c>
    </row>
    <row r="733" spans="1:16" ht="14.25">
      <c r="A733" s="10">
        <v>2016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484</v>
      </c>
      <c r="K733" s="12" t="b">
        <v>1</v>
      </c>
      <c r="L733" s="12">
        <v>6</v>
      </c>
      <c r="M733" s="8">
        <v>2022</v>
      </c>
      <c r="N733" s="9">
        <v>0</v>
      </c>
      <c r="O733" s="13">
        <v>42451</v>
      </c>
      <c r="P733" s="13">
        <v>42451</v>
      </c>
    </row>
    <row r="734" spans="1:16" ht="14.25">
      <c r="A734" s="10">
        <v>2016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484</v>
      </c>
      <c r="K734" s="12" t="b">
        <v>1</v>
      </c>
      <c r="L734" s="12">
        <v>7</v>
      </c>
      <c r="M734" s="8">
        <v>2023</v>
      </c>
      <c r="N734" s="9">
        <v>0</v>
      </c>
      <c r="O734" s="13">
        <v>42451</v>
      </c>
      <c r="P734" s="13">
        <v>42451</v>
      </c>
    </row>
    <row r="735" spans="1:16" ht="14.25">
      <c r="A735" s="10">
        <v>2016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484</v>
      </c>
      <c r="K735" s="12" t="b">
        <v>1</v>
      </c>
      <c r="L735" s="12">
        <v>2</v>
      </c>
      <c r="M735" s="8">
        <v>2018</v>
      </c>
      <c r="N735" s="9">
        <v>0</v>
      </c>
      <c r="O735" s="13">
        <v>42451</v>
      </c>
      <c r="P735" s="13">
        <v>42451</v>
      </c>
    </row>
    <row r="736" spans="1:16" ht="14.25">
      <c r="A736" s="10">
        <v>2016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484</v>
      </c>
      <c r="K736" s="12" t="b">
        <v>1</v>
      </c>
      <c r="L736" s="12">
        <v>8</v>
      </c>
      <c r="M736" s="8">
        <v>2024</v>
      </c>
      <c r="N736" s="9">
        <v>0</v>
      </c>
      <c r="O736" s="13">
        <v>42451</v>
      </c>
      <c r="P736" s="13">
        <v>42451</v>
      </c>
    </row>
    <row r="737" spans="1:16" ht="14.25">
      <c r="A737" s="10">
        <v>2016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484</v>
      </c>
      <c r="K737" s="12" t="b">
        <v>1</v>
      </c>
      <c r="L737" s="12">
        <v>3</v>
      </c>
      <c r="M737" s="8">
        <v>2019</v>
      </c>
      <c r="N737" s="9">
        <v>0</v>
      </c>
      <c r="O737" s="13">
        <v>42451</v>
      </c>
      <c r="P737" s="13">
        <v>42451</v>
      </c>
    </row>
    <row r="738" spans="1:16" ht="14.25">
      <c r="A738" s="10">
        <v>2016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484</v>
      </c>
      <c r="K738" s="12" t="b">
        <v>1</v>
      </c>
      <c r="L738" s="12">
        <v>0</v>
      </c>
      <c r="M738" s="8">
        <v>2016</v>
      </c>
      <c r="N738" s="9">
        <v>0</v>
      </c>
      <c r="O738" s="13">
        <v>42451</v>
      </c>
      <c r="P738" s="13">
        <v>42451</v>
      </c>
    </row>
    <row r="739" spans="1:16" ht="14.25">
      <c r="A739" s="10">
        <v>2016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484</v>
      </c>
      <c r="K739" s="12" t="b">
        <v>1</v>
      </c>
      <c r="L739" s="12">
        <v>4</v>
      </c>
      <c r="M739" s="8">
        <v>2020</v>
      </c>
      <c r="N739" s="9">
        <v>0</v>
      </c>
      <c r="O739" s="13">
        <v>42451</v>
      </c>
      <c r="P739" s="13">
        <v>42451</v>
      </c>
    </row>
    <row r="740" spans="1:16" ht="14.25">
      <c r="A740" s="10">
        <v>2016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484</v>
      </c>
      <c r="K740" s="12" t="b">
        <v>1</v>
      </c>
      <c r="L740" s="12">
        <v>1</v>
      </c>
      <c r="M740" s="8">
        <v>2017</v>
      </c>
      <c r="N740" s="9">
        <v>0</v>
      </c>
      <c r="O740" s="13">
        <v>42451</v>
      </c>
      <c r="P740" s="13">
        <v>42451</v>
      </c>
    </row>
    <row r="741" spans="1:16" ht="14.25">
      <c r="A741" s="10">
        <v>2016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484</v>
      </c>
      <c r="K741" s="12" t="b">
        <v>1</v>
      </c>
      <c r="L741" s="12">
        <v>5</v>
      </c>
      <c r="M741" s="8">
        <v>2021</v>
      </c>
      <c r="N741" s="9">
        <v>0</v>
      </c>
      <c r="O741" s="13">
        <v>42451</v>
      </c>
      <c r="P741" s="13">
        <v>42451</v>
      </c>
    </row>
    <row r="742" spans="1:16" ht="14.25">
      <c r="A742" s="10">
        <v>2016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397</v>
      </c>
      <c r="K742" s="12" t="b">
        <v>1</v>
      </c>
      <c r="L742" s="12">
        <v>7</v>
      </c>
      <c r="M742" s="8">
        <v>2023</v>
      </c>
      <c r="N742" s="9">
        <v>0</v>
      </c>
      <c r="O742" s="13">
        <v>42451</v>
      </c>
      <c r="P742" s="13">
        <v>42451</v>
      </c>
    </row>
    <row r="743" spans="1:16" ht="14.25">
      <c r="A743" s="10">
        <v>2016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397</v>
      </c>
      <c r="K743" s="12" t="b">
        <v>1</v>
      </c>
      <c r="L743" s="12">
        <v>0</v>
      </c>
      <c r="M743" s="8">
        <v>2016</v>
      </c>
      <c r="N743" s="9">
        <v>0</v>
      </c>
      <c r="O743" s="13">
        <v>42451</v>
      </c>
      <c r="P743" s="13">
        <v>42451</v>
      </c>
    </row>
    <row r="744" spans="1:16" ht="14.25">
      <c r="A744" s="10">
        <v>2016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397</v>
      </c>
      <c r="K744" s="12" t="b">
        <v>1</v>
      </c>
      <c r="L744" s="12">
        <v>4</v>
      </c>
      <c r="M744" s="8">
        <v>2020</v>
      </c>
      <c r="N744" s="9">
        <v>0</v>
      </c>
      <c r="O744" s="13">
        <v>42451</v>
      </c>
      <c r="P744" s="13">
        <v>42451</v>
      </c>
    </row>
    <row r="745" spans="1:16" ht="14.25">
      <c r="A745" s="10">
        <v>2016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397</v>
      </c>
      <c r="K745" s="12" t="b">
        <v>1</v>
      </c>
      <c r="L745" s="12">
        <v>8</v>
      </c>
      <c r="M745" s="8">
        <v>2024</v>
      </c>
      <c r="N745" s="9">
        <v>0</v>
      </c>
      <c r="O745" s="13">
        <v>42451</v>
      </c>
      <c r="P745" s="13">
        <v>42451</v>
      </c>
    </row>
    <row r="746" spans="1:16" ht="14.25">
      <c r="A746" s="10">
        <v>2016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397</v>
      </c>
      <c r="K746" s="12" t="b">
        <v>1</v>
      </c>
      <c r="L746" s="12">
        <v>2</v>
      </c>
      <c r="M746" s="8">
        <v>2018</v>
      </c>
      <c r="N746" s="9">
        <v>0</v>
      </c>
      <c r="O746" s="13">
        <v>42451</v>
      </c>
      <c r="P746" s="13">
        <v>42451</v>
      </c>
    </row>
    <row r="747" spans="1:16" ht="14.25">
      <c r="A747" s="10">
        <v>2016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397</v>
      </c>
      <c r="K747" s="12" t="b">
        <v>1</v>
      </c>
      <c r="L747" s="12">
        <v>6</v>
      </c>
      <c r="M747" s="8">
        <v>2022</v>
      </c>
      <c r="N747" s="9">
        <v>0</v>
      </c>
      <c r="O747" s="13">
        <v>42451</v>
      </c>
      <c r="P747" s="13">
        <v>42451</v>
      </c>
    </row>
    <row r="748" spans="1:16" ht="14.25">
      <c r="A748" s="10">
        <v>2016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397</v>
      </c>
      <c r="K748" s="12" t="b">
        <v>1</v>
      </c>
      <c r="L748" s="12">
        <v>3</v>
      </c>
      <c r="M748" s="8">
        <v>2019</v>
      </c>
      <c r="N748" s="9">
        <v>0</v>
      </c>
      <c r="O748" s="13">
        <v>42451</v>
      </c>
      <c r="P748" s="13">
        <v>42451</v>
      </c>
    </row>
    <row r="749" spans="1:16" ht="14.25">
      <c r="A749" s="10">
        <v>2016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397</v>
      </c>
      <c r="K749" s="12" t="b">
        <v>1</v>
      </c>
      <c r="L749" s="12">
        <v>5</v>
      </c>
      <c r="M749" s="8">
        <v>2021</v>
      </c>
      <c r="N749" s="9">
        <v>0</v>
      </c>
      <c r="O749" s="13">
        <v>42451</v>
      </c>
      <c r="P749" s="13">
        <v>42451</v>
      </c>
    </row>
    <row r="750" spans="1:16" ht="14.25">
      <c r="A750" s="10">
        <v>2016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397</v>
      </c>
      <c r="K750" s="12" t="b">
        <v>1</v>
      </c>
      <c r="L750" s="12">
        <v>1</v>
      </c>
      <c r="M750" s="8">
        <v>2017</v>
      </c>
      <c r="N750" s="9">
        <v>0</v>
      </c>
      <c r="O750" s="13">
        <v>42451</v>
      </c>
      <c r="P750" s="13">
        <v>42451</v>
      </c>
    </row>
    <row r="751" spans="1:16" ht="14.25">
      <c r="A751" s="10">
        <v>2016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5</v>
      </c>
      <c r="M751" s="8">
        <v>2021</v>
      </c>
      <c r="N751" s="9">
        <v>0</v>
      </c>
      <c r="O751" s="13">
        <v>42451</v>
      </c>
      <c r="P751" s="13">
        <v>42451</v>
      </c>
    </row>
    <row r="752" spans="1:16" ht="14.25">
      <c r="A752" s="10">
        <v>2016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6</v>
      </c>
      <c r="M752" s="8">
        <v>2022</v>
      </c>
      <c r="N752" s="9">
        <v>0</v>
      </c>
      <c r="O752" s="13">
        <v>42451</v>
      </c>
      <c r="P752" s="13">
        <v>42451</v>
      </c>
    </row>
    <row r="753" spans="1:16" ht="14.25">
      <c r="A753" s="10">
        <v>2016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2</v>
      </c>
      <c r="M753" s="8">
        <v>2018</v>
      </c>
      <c r="N753" s="9">
        <v>0</v>
      </c>
      <c r="O753" s="13">
        <v>42451</v>
      </c>
      <c r="P753" s="13">
        <v>42451</v>
      </c>
    </row>
    <row r="754" spans="1:16" ht="14.25">
      <c r="A754" s="10">
        <v>2016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7</v>
      </c>
      <c r="M754" s="8">
        <v>2023</v>
      </c>
      <c r="N754" s="9">
        <v>0</v>
      </c>
      <c r="O754" s="13">
        <v>42451</v>
      </c>
      <c r="P754" s="13">
        <v>42451</v>
      </c>
    </row>
    <row r="755" spans="1:16" ht="14.25">
      <c r="A755" s="10">
        <v>2016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1</v>
      </c>
      <c r="M755" s="8">
        <v>2017</v>
      </c>
      <c r="N755" s="9">
        <v>0</v>
      </c>
      <c r="O755" s="13">
        <v>42451</v>
      </c>
      <c r="P755" s="13">
        <v>42451</v>
      </c>
    </row>
    <row r="756" spans="1:16" ht="14.25">
      <c r="A756" s="10">
        <v>2016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8</v>
      </c>
      <c r="M756" s="8">
        <v>2024</v>
      </c>
      <c r="N756" s="9">
        <v>0</v>
      </c>
      <c r="O756" s="13">
        <v>42451</v>
      </c>
      <c r="P756" s="13">
        <v>42451</v>
      </c>
    </row>
    <row r="757" spans="1:16" ht="14.25">
      <c r="A757" s="10">
        <v>2016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0</v>
      </c>
      <c r="M757" s="8">
        <v>2016</v>
      </c>
      <c r="N757" s="9">
        <v>0</v>
      </c>
      <c r="O757" s="13">
        <v>42451</v>
      </c>
      <c r="P757" s="13">
        <v>42451</v>
      </c>
    </row>
    <row r="758" spans="1:16" ht="14.25">
      <c r="A758" s="10">
        <v>2016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4</v>
      </c>
      <c r="M758" s="8">
        <v>2020</v>
      </c>
      <c r="N758" s="9">
        <v>0</v>
      </c>
      <c r="O758" s="13">
        <v>42451</v>
      </c>
      <c r="P758" s="13">
        <v>42451</v>
      </c>
    </row>
    <row r="759" spans="1:16" ht="14.25">
      <c r="A759" s="10">
        <v>2016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3</v>
      </c>
      <c r="M759" s="8">
        <v>2019</v>
      </c>
      <c r="N759" s="9">
        <v>0</v>
      </c>
      <c r="O759" s="13">
        <v>42451</v>
      </c>
      <c r="P759" s="13">
        <v>42451</v>
      </c>
    </row>
    <row r="760" spans="1:16" ht="14.25">
      <c r="A760" s="10">
        <v>2016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5</v>
      </c>
      <c r="M760" s="8">
        <v>2021</v>
      </c>
      <c r="N760" s="9">
        <v>663410.88</v>
      </c>
      <c r="O760" s="13">
        <v>42451</v>
      </c>
      <c r="P760" s="13">
        <v>42451</v>
      </c>
    </row>
    <row r="761" spans="1:16" ht="14.25">
      <c r="A761" s="10">
        <v>2016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3</v>
      </c>
      <c r="M761" s="8">
        <v>2019</v>
      </c>
      <c r="N761" s="9">
        <v>857414.88</v>
      </c>
      <c r="O761" s="13">
        <v>42451</v>
      </c>
      <c r="P761" s="13">
        <v>42451</v>
      </c>
    </row>
    <row r="762" spans="1:16" ht="14.25">
      <c r="A762" s="10">
        <v>2016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2</v>
      </c>
      <c r="M762" s="8">
        <v>2018</v>
      </c>
      <c r="N762" s="9">
        <v>947379.45</v>
      </c>
      <c r="O762" s="13">
        <v>42451</v>
      </c>
      <c r="P762" s="13">
        <v>42451</v>
      </c>
    </row>
    <row r="763" spans="1:16" ht="14.25">
      <c r="A763" s="10">
        <v>2016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7</v>
      </c>
      <c r="M763" s="8">
        <v>2023</v>
      </c>
      <c r="N763" s="9">
        <v>585614.88</v>
      </c>
      <c r="O763" s="13">
        <v>42451</v>
      </c>
      <c r="P763" s="13">
        <v>42451</v>
      </c>
    </row>
    <row r="764" spans="1:16" ht="14.25">
      <c r="A764" s="10">
        <v>2016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8</v>
      </c>
      <c r="M764" s="8">
        <v>2024</v>
      </c>
      <c r="N764" s="9">
        <v>553068.76</v>
      </c>
      <c r="O764" s="13">
        <v>42451</v>
      </c>
      <c r="P764" s="13">
        <v>42451</v>
      </c>
    </row>
    <row r="765" spans="1:16" ht="14.25">
      <c r="A765" s="10">
        <v>2016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6</v>
      </c>
      <c r="M765" s="8">
        <v>2022</v>
      </c>
      <c r="N765" s="9">
        <v>663414.88</v>
      </c>
      <c r="O765" s="13">
        <v>42451</v>
      </c>
      <c r="P765" s="13">
        <v>42451</v>
      </c>
    </row>
    <row r="766" spans="1:16" ht="14.25">
      <c r="A766" s="10">
        <v>2016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0</v>
      </c>
      <c r="M766" s="8">
        <v>2016</v>
      </c>
      <c r="N766" s="9">
        <v>947266.88</v>
      </c>
      <c r="O766" s="13">
        <v>42451</v>
      </c>
      <c r="P766" s="13">
        <v>42451</v>
      </c>
    </row>
    <row r="767" spans="1:16" ht="14.25">
      <c r="A767" s="10">
        <v>2016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4</v>
      </c>
      <c r="M767" s="8">
        <v>2020</v>
      </c>
      <c r="N767" s="9">
        <v>663414.88</v>
      </c>
      <c r="O767" s="13">
        <v>42451</v>
      </c>
      <c r="P767" s="13">
        <v>42451</v>
      </c>
    </row>
    <row r="768" spans="1:16" ht="14.25">
      <c r="A768" s="10">
        <v>2016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1</v>
      </c>
      <c r="M768" s="8">
        <v>2017</v>
      </c>
      <c r="N768" s="9">
        <v>996998.88</v>
      </c>
      <c r="O768" s="13">
        <v>42451</v>
      </c>
      <c r="P768" s="13">
        <v>42451</v>
      </c>
    </row>
    <row r="769" spans="1:16" ht="14.25">
      <c r="A769" s="10">
        <v>2016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8</v>
      </c>
      <c r="M769" s="8">
        <v>2024</v>
      </c>
      <c r="N769" s="9">
        <v>0</v>
      </c>
      <c r="O769" s="13">
        <v>42451</v>
      </c>
      <c r="P769" s="13">
        <v>42451</v>
      </c>
    </row>
    <row r="770" spans="1:16" ht="14.25">
      <c r="A770" s="10">
        <v>2016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3</v>
      </c>
      <c r="M770" s="8">
        <v>2019</v>
      </c>
      <c r="N770" s="9">
        <v>0</v>
      </c>
      <c r="O770" s="13">
        <v>42451</v>
      </c>
      <c r="P770" s="13">
        <v>42451</v>
      </c>
    </row>
    <row r="771" spans="1:16" ht="14.25">
      <c r="A771" s="10">
        <v>2016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0</v>
      </c>
      <c r="M771" s="8">
        <v>2016</v>
      </c>
      <c r="N771" s="9">
        <v>2533543</v>
      </c>
      <c r="O771" s="13">
        <v>42451</v>
      </c>
      <c r="P771" s="13">
        <v>42451</v>
      </c>
    </row>
    <row r="772" spans="1:16" ht="14.25">
      <c r="A772" s="10">
        <v>2016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1</v>
      </c>
      <c r="M772" s="8">
        <v>2017</v>
      </c>
      <c r="N772" s="9">
        <v>0</v>
      </c>
      <c r="O772" s="13">
        <v>42451</v>
      </c>
      <c r="P772" s="13">
        <v>42451</v>
      </c>
    </row>
    <row r="773" spans="1:16" ht="14.25">
      <c r="A773" s="10">
        <v>2016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5</v>
      </c>
      <c r="M773" s="8">
        <v>2021</v>
      </c>
      <c r="N773" s="9">
        <v>0</v>
      </c>
      <c r="O773" s="13">
        <v>42451</v>
      </c>
      <c r="P773" s="13">
        <v>42451</v>
      </c>
    </row>
    <row r="774" spans="1:16" ht="14.25">
      <c r="A774" s="10">
        <v>2016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7</v>
      </c>
      <c r="M774" s="8">
        <v>2023</v>
      </c>
      <c r="N774" s="9">
        <v>0</v>
      </c>
      <c r="O774" s="13">
        <v>42451</v>
      </c>
      <c r="P774" s="13">
        <v>42451</v>
      </c>
    </row>
    <row r="775" spans="1:16" ht="14.25">
      <c r="A775" s="10">
        <v>2016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2</v>
      </c>
      <c r="M775" s="8">
        <v>2018</v>
      </c>
      <c r="N775" s="9">
        <v>0</v>
      </c>
      <c r="O775" s="13">
        <v>42451</v>
      </c>
      <c r="P775" s="13">
        <v>42451</v>
      </c>
    </row>
    <row r="776" spans="1:16" ht="14.25">
      <c r="A776" s="10">
        <v>2016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6</v>
      </c>
      <c r="M776" s="8">
        <v>2022</v>
      </c>
      <c r="N776" s="9">
        <v>0</v>
      </c>
      <c r="O776" s="13">
        <v>42451</v>
      </c>
      <c r="P776" s="13">
        <v>42451</v>
      </c>
    </row>
    <row r="777" spans="1:16" ht="14.25">
      <c r="A777" s="10">
        <v>2016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4</v>
      </c>
      <c r="M777" s="8">
        <v>2020</v>
      </c>
      <c r="N777" s="9">
        <v>0</v>
      </c>
      <c r="O777" s="13">
        <v>42451</v>
      </c>
      <c r="P777" s="13">
        <v>42451</v>
      </c>
    </row>
    <row r="778" spans="1:16" ht="14.25">
      <c r="A778" s="10">
        <v>2016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361</v>
      </c>
      <c r="J778" s="12" t="s">
        <v>362</v>
      </c>
      <c r="K778" s="12" t="b">
        <v>0</v>
      </c>
      <c r="L778" s="12">
        <v>2</v>
      </c>
      <c r="M778" s="8">
        <v>2018</v>
      </c>
      <c r="N778" s="9">
        <v>0.0455</v>
      </c>
      <c r="O778" s="13">
        <v>42451</v>
      </c>
      <c r="P778" s="13">
        <v>42451</v>
      </c>
    </row>
    <row r="779" spans="1:16" ht="14.25">
      <c r="A779" s="10">
        <v>2016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361</v>
      </c>
      <c r="J779" s="12" t="s">
        <v>362</v>
      </c>
      <c r="K779" s="12" t="b">
        <v>0</v>
      </c>
      <c r="L779" s="12">
        <v>3</v>
      </c>
      <c r="M779" s="8">
        <v>2019</v>
      </c>
      <c r="N779" s="9">
        <v>0.0397</v>
      </c>
      <c r="O779" s="13">
        <v>42451</v>
      </c>
      <c r="P779" s="13">
        <v>42451</v>
      </c>
    </row>
    <row r="780" spans="1:16" ht="14.25">
      <c r="A780" s="10">
        <v>2016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361</v>
      </c>
      <c r="J780" s="12" t="s">
        <v>362</v>
      </c>
      <c r="K780" s="12" t="b">
        <v>0</v>
      </c>
      <c r="L780" s="12">
        <v>7</v>
      </c>
      <c r="M780" s="8">
        <v>2023</v>
      </c>
      <c r="N780" s="9">
        <v>0.0227</v>
      </c>
      <c r="O780" s="13">
        <v>42451</v>
      </c>
      <c r="P780" s="13">
        <v>42451</v>
      </c>
    </row>
    <row r="781" spans="1:16" ht="14.25">
      <c r="A781" s="10">
        <v>2016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820</v>
      </c>
      <c r="H781" s="12">
        <v>13.3</v>
      </c>
      <c r="I781" s="12"/>
      <c r="J781" s="12" t="s">
        <v>117</v>
      </c>
      <c r="K781" s="12" t="b">
        <v>1</v>
      </c>
      <c r="L781" s="12">
        <v>3</v>
      </c>
      <c r="M781" s="8">
        <v>2019</v>
      </c>
      <c r="N781" s="9">
        <v>0</v>
      </c>
      <c r="O781" s="13">
        <v>42451</v>
      </c>
      <c r="P781" s="13">
        <v>42451</v>
      </c>
    </row>
    <row r="782" spans="1:16" ht="14.25">
      <c r="A782" s="10">
        <v>2016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30</v>
      </c>
      <c r="H782" s="12" t="s">
        <v>37</v>
      </c>
      <c r="I782" s="12"/>
      <c r="J782" s="12" t="s">
        <v>38</v>
      </c>
      <c r="K782" s="12" t="b">
        <v>1</v>
      </c>
      <c r="L782" s="12">
        <v>1</v>
      </c>
      <c r="M782" s="8">
        <v>2017</v>
      </c>
      <c r="N782" s="9">
        <v>8387000</v>
      </c>
      <c r="O782" s="13">
        <v>42451</v>
      </c>
      <c r="P782" s="13">
        <v>42451</v>
      </c>
    </row>
    <row r="783" spans="1:16" ht="14.25">
      <c r="A783" s="10">
        <v>2016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361</v>
      </c>
      <c r="J783" s="12" t="s">
        <v>362</v>
      </c>
      <c r="K783" s="12" t="b">
        <v>0</v>
      </c>
      <c r="L783" s="12">
        <v>5</v>
      </c>
      <c r="M783" s="8">
        <v>2021</v>
      </c>
      <c r="N783" s="9">
        <v>0.0288</v>
      </c>
      <c r="O783" s="13">
        <v>42451</v>
      </c>
      <c r="P783" s="13">
        <v>42451</v>
      </c>
    </row>
    <row r="784" spans="1:16" ht="14.25">
      <c r="A784" s="10">
        <v>2016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361</v>
      </c>
      <c r="J784" s="12" t="s">
        <v>362</v>
      </c>
      <c r="K784" s="12" t="b">
        <v>0</v>
      </c>
      <c r="L784" s="12">
        <v>6</v>
      </c>
      <c r="M784" s="8">
        <v>2022</v>
      </c>
      <c r="N784" s="9">
        <v>0.0271</v>
      </c>
      <c r="O784" s="13">
        <v>42451</v>
      </c>
      <c r="P784" s="13">
        <v>42451</v>
      </c>
    </row>
    <row r="785" spans="1:16" ht="14.25">
      <c r="A785" s="10">
        <v>2016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361</v>
      </c>
      <c r="J785" s="12" t="s">
        <v>362</v>
      </c>
      <c r="K785" s="12" t="b">
        <v>0</v>
      </c>
      <c r="L785" s="12">
        <v>1</v>
      </c>
      <c r="M785" s="8">
        <v>2017</v>
      </c>
      <c r="N785" s="9">
        <v>0.0488</v>
      </c>
      <c r="O785" s="13">
        <v>42451</v>
      </c>
      <c r="P785" s="13">
        <v>42451</v>
      </c>
    </row>
    <row r="786" spans="1:16" ht="14.25">
      <c r="A786" s="10">
        <v>2016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361</v>
      </c>
      <c r="J786" s="12" t="s">
        <v>362</v>
      </c>
      <c r="K786" s="12" t="b">
        <v>0</v>
      </c>
      <c r="L786" s="12">
        <v>8</v>
      </c>
      <c r="M786" s="8">
        <v>2024</v>
      </c>
      <c r="N786" s="9">
        <v>0.0201</v>
      </c>
      <c r="O786" s="13">
        <v>42451</v>
      </c>
      <c r="P786" s="13">
        <v>42451</v>
      </c>
    </row>
    <row r="787" spans="1:16" ht="14.25">
      <c r="A787" s="10">
        <v>2016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480</v>
      </c>
      <c r="H787" s="12">
        <v>9.2</v>
      </c>
      <c r="I787" s="12" t="s">
        <v>361</v>
      </c>
      <c r="J787" s="12" t="s">
        <v>362</v>
      </c>
      <c r="K787" s="12" t="b">
        <v>0</v>
      </c>
      <c r="L787" s="12">
        <v>4</v>
      </c>
      <c r="M787" s="8">
        <v>2020</v>
      </c>
      <c r="N787" s="9">
        <v>0.0303</v>
      </c>
      <c r="O787" s="13">
        <v>42451</v>
      </c>
      <c r="P787" s="13">
        <v>42451</v>
      </c>
    </row>
    <row r="788" spans="1:16" ht="14.25">
      <c r="A788" s="10">
        <v>2016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480</v>
      </c>
      <c r="H788" s="12">
        <v>9.2</v>
      </c>
      <c r="I788" s="12" t="s">
        <v>361</v>
      </c>
      <c r="J788" s="12" t="s">
        <v>362</v>
      </c>
      <c r="K788" s="12" t="b">
        <v>0</v>
      </c>
      <c r="L788" s="12">
        <v>0</v>
      </c>
      <c r="M788" s="8">
        <v>2016</v>
      </c>
      <c r="N788" s="9">
        <v>0.0437</v>
      </c>
      <c r="O788" s="13">
        <v>42451</v>
      </c>
      <c r="P788" s="13">
        <v>42451</v>
      </c>
    </row>
    <row r="789" spans="1:16" ht="14.25">
      <c r="A789" s="10">
        <v>2016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0</v>
      </c>
      <c r="M789" s="8">
        <v>2016</v>
      </c>
      <c r="N789" s="9">
        <v>0</v>
      </c>
      <c r="O789" s="13">
        <v>42451</v>
      </c>
      <c r="P789" s="13">
        <v>42451</v>
      </c>
    </row>
    <row r="790" spans="1:16" ht="14.25">
      <c r="A790" s="10">
        <v>2016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2021</v>
      </c>
      <c r="N790" s="9">
        <v>0</v>
      </c>
      <c r="O790" s="13">
        <v>42451</v>
      </c>
      <c r="P790" s="13">
        <v>42451</v>
      </c>
    </row>
    <row r="791" spans="1:16" ht="14.25">
      <c r="A791" s="10">
        <v>2016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6</v>
      </c>
      <c r="M791" s="8">
        <v>2022</v>
      </c>
      <c r="N791" s="9">
        <v>0</v>
      </c>
      <c r="O791" s="13">
        <v>42451</v>
      </c>
      <c r="P791" s="13">
        <v>42451</v>
      </c>
    </row>
    <row r="792" spans="1:16" ht="14.25">
      <c r="A792" s="10">
        <v>2016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4</v>
      </c>
      <c r="M792" s="8">
        <v>2020</v>
      </c>
      <c r="N792" s="9">
        <v>0</v>
      </c>
      <c r="O792" s="13">
        <v>42451</v>
      </c>
      <c r="P792" s="13">
        <v>42451</v>
      </c>
    </row>
    <row r="793" spans="1:16" ht="14.25">
      <c r="A793" s="10">
        <v>2016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8</v>
      </c>
      <c r="M793" s="8">
        <v>2024</v>
      </c>
      <c r="N793" s="9">
        <v>0</v>
      </c>
      <c r="O793" s="13">
        <v>42451</v>
      </c>
      <c r="P793" s="13">
        <v>42451</v>
      </c>
    </row>
    <row r="794" spans="1:16" ht="14.25">
      <c r="A794" s="10">
        <v>2016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2023</v>
      </c>
      <c r="N794" s="9">
        <v>0</v>
      </c>
      <c r="O794" s="13">
        <v>42451</v>
      </c>
      <c r="P794" s="13">
        <v>42451</v>
      </c>
    </row>
    <row r="795" spans="1:16" ht="14.25">
      <c r="A795" s="10">
        <v>2016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2</v>
      </c>
      <c r="M795" s="8">
        <v>2018</v>
      </c>
      <c r="N795" s="9">
        <v>0</v>
      </c>
      <c r="O795" s="13">
        <v>42451</v>
      </c>
      <c r="P795" s="13">
        <v>42451</v>
      </c>
    </row>
    <row r="796" spans="1:16" ht="14.25">
      <c r="A796" s="10">
        <v>2016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820</v>
      </c>
      <c r="H796" s="12">
        <v>13.3</v>
      </c>
      <c r="I796" s="12"/>
      <c r="J796" s="12" t="s">
        <v>117</v>
      </c>
      <c r="K796" s="12" t="b">
        <v>1</v>
      </c>
      <c r="L796" s="12">
        <v>1</v>
      </c>
      <c r="M796" s="8">
        <v>2017</v>
      </c>
      <c r="N796" s="9">
        <v>0</v>
      </c>
      <c r="O796" s="13">
        <v>42451</v>
      </c>
      <c r="P796" s="13">
        <v>42451</v>
      </c>
    </row>
    <row r="797" spans="1:16" ht="14.25">
      <c r="A797" s="10">
        <v>2016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3</v>
      </c>
      <c r="M797" s="8">
        <v>2019</v>
      </c>
      <c r="N797" s="9">
        <v>8726000</v>
      </c>
      <c r="O797" s="13">
        <v>42451</v>
      </c>
      <c r="P797" s="13">
        <v>42451</v>
      </c>
    </row>
    <row r="798" spans="1:16" ht="14.25">
      <c r="A798" s="10">
        <v>2016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0</v>
      </c>
      <c r="M798" s="8">
        <v>2016</v>
      </c>
      <c r="N798" s="9">
        <v>8222487</v>
      </c>
      <c r="O798" s="13">
        <v>42451</v>
      </c>
      <c r="P798" s="13">
        <v>42451</v>
      </c>
    </row>
    <row r="799" spans="1:16" ht="14.25">
      <c r="A799" s="10">
        <v>2016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4</v>
      </c>
      <c r="M799" s="8">
        <v>2020</v>
      </c>
      <c r="N799" s="9">
        <v>0</v>
      </c>
      <c r="O799" s="13">
        <v>42451</v>
      </c>
      <c r="P799" s="13">
        <v>42451</v>
      </c>
    </row>
    <row r="800" spans="1:16" ht="14.25">
      <c r="A800" s="10">
        <v>2016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2</v>
      </c>
      <c r="M800" s="8">
        <v>2018</v>
      </c>
      <c r="N800" s="9">
        <v>8554600</v>
      </c>
      <c r="O800" s="13">
        <v>42451</v>
      </c>
      <c r="P800" s="13">
        <v>42451</v>
      </c>
    </row>
    <row r="801" spans="1:16" ht="14.25">
      <c r="A801" s="10">
        <v>2016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8</v>
      </c>
      <c r="M801" s="8">
        <v>2024</v>
      </c>
      <c r="N801" s="9">
        <v>0</v>
      </c>
      <c r="O801" s="13">
        <v>42451</v>
      </c>
      <c r="P801" s="13">
        <v>42451</v>
      </c>
    </row>
    <row r="802" spans="1:16" ht="14.25">
      <c r="A802" s="10">
        <v>2016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7</v>
      </c>
      <c r="M802" s="8">
        <v>2023</v>
      </c>
      <c r="N802" s="9">
        <v>0</v>
      </c>
      <c r="O802" s="13">
        <v>42451</v>
      </c>
      <c r="P802" s="13">
        <v>42451</v>
      </c>
    </row>
    <row r="803" spans="1:16" ht="14.25">
      <c r="A803" s="10">
        <v>2016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5</v>
      </c>
      <c r="M803" s="8">
        <v>2021</v>
      </c>
      <c r="N803" s="9">
        <v>0</v>
      </c>
      <c r="O803" s="13">
        <v>42451</v>
      </c>
      <c r="P803" s="13">
        <v>42451</v>
      </c>
    </row>
    <row r="804" spans="1:16" ht="14.25">
      <c r="A804" s="10">
        <v>2016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6</v>
      </c>
      <c r="M804" s="8">
        <v>2022</v>
      </c>
      <c r="N804" s="9">
        <v>0</v>
      </c>
      <c r="O804" s="13">
        <v>42451</v>
      </c>
      <c r="P804" s="13">
        <v>42451</v>
      </c>
    </row>
    <row r="805" spans="1:16" ht="14.25">
      <c r="A805" s="10">
        <v>2016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346</v>
      </c>
      <c r="J805" s="12" t="s">
        <v>21</v>
      </c>
      <c r="K805" s="12" t="b">
        <v>0</v>
      </c>
      <c r="L805" s="12">
        <v>1</v>
      </c>
      <c r="M805" s="8">
        <v>2017</v>
      </c>
      <c r="N805" s="9">
        <v>996998.88</v>
      </c>
      <c r="O805" s="13">
        <v>42451</v>
      </c>
      <c r="P805" s="13">
        <v>42451</v>
      </c>
    </row>
    <row r="806" spans="1:16" ht="14.25">
      <c r="A806" s="10">
        <v>2016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346</v>
      </c>
      <c r="J806" s="12" t="s">
        <v>21</v>
      </c>
      <c r="K806" s="12" t="b">
        <v>0</v>
      </c>
      <c r="L806" s="12">
        <v>4</v>
      </c>
      <c r="M806" s="8">
        <v>2020</v>
      </c>
      <c r="N806" s="9">
        <v>663414.88</v>
      </c>
      <c r="O806" s="13">
        <v>42451</v>
      </c>
      <c r="P806" s="13">
        <v>42451</v>
      </c>
    </row>
    <row r="807" spans="1:16" ht="14.25">
      <c r="A807" s="10">
        <v>2016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346</v>
      </c>
      <c r="J807" s="12" t="s">
        <v>21</v>
      </c>
      <c r="K807" s="12" t="b">
        <v>0</v>
      </c>
      <c r="L807" s="12">
        <v>8</v>
      </c>
      <c r="M807" s="8">
        <v>2024</v>
      </c>
      <c r="N807" s="9">
        <v>553068.76</v>
      </c>
      <c r="O807" s="13">
        <v>42451</v>
      </c>
      <c r="P807" s="13">
        <v>42451</v>
      </c>
    </row>
    <row r="808" spans="1:16" ht="14.25">
      <c r="A808" s="10">
        <v>2016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346</v>
      </c>
      <c r="J808" s="12" t="s">
        <v>21</v>
      </c>
      <c r="K808" s="12" t="b">
        <v>0</v>
      </c>
      <c r="L808" s="12">
        <v>0</v>
      </c>
      <c r="M808" s="8">
        <v>2016</v>
      </c>
      <c r="N808" s="9">
        <v>947266.88</v>
      </c>
      <c r="O808" s="13">
        <v>42451</v>
      </c>
      <c r="P808" s="13">
        <v>42451</v>
      </c>
    </row>
    <row r="809" spans="1:16" ht="14.25">
      <c r="A809" s="10">
        <v>2016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346</v>
      </c>
      <c r="J809" s="12" t="s">
        <v>21</v>
      </c>
      <c r="K809" s="12" t="b">
        <v>0</v>
      </c>
      <c r="L809" s="12">
        <v>2</v>
      </c>
      <c r="M809" s="8">
        <v>2018</v>
      </c>
      <c r="N809" s="9">
        <v>947379.45</v>
      </c>
      <c r="O809" s="13">
        <v>42451</v>
      </c>
      <c r="P809" s="13">
        <v>42451</v>
      </c>
    </row>
    <row r="810" spans="1:16" ht="14.25">
      <c r="A810" s="10">
        <v>2016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346</v>
      </c>
      <c r="J810" s="12" t="s">
        <v>21</v>
      </c>
      <c r="K810" s="12" t="b">
        <v>0</v>
      </c>
      <c r="L810" s="12">
        <v>3</v>
      </c>
      <c r="M810" s="8">
        <v>2019</v>
      </c>
      <c r="N810" s="9">
        <v>857414.88</v>
      </c>
      <c r="O810" s="13">
        <v>42451</v>
      </c>
      <c r="P810" s="13">
        <v>42451</v>
      </c>
    </row>
    <row r="811" spans="1:16" ht="14.25">
      <c r="A811" s="10">
        <v>2016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346</v>
      </c>
      <c r="J811" s="12" t="s">
        <v>21</v>
      </c>
      <c r="K811" s="12" t="b">
        <v>0</v>
      </c>
      <c r="L811" s="12">
        <v>6</v>
      </c>
      <c r="M811" s="8">
        <v>2022</v>
      </c>
      <c r="N811" s="9">
        <v>663414.88</v>
      </c>
      <c r="O811" s="13">
        <v>42451</v>
      </c>
      <c r="P811" s="13">
        <v>42451</v>
      </c>
    </row>
    <row r="812" spans="1:16" ht="14.25">
      <c r="A812" s="10">
        <v>2016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346</v>
      </c>
      <c r="J812" s="12" t="s">
        <v>21</v>
      </c>
      <c r="K812" s="12" t="b">
        <v>0</v>
      </c>
      <c r="L812" s="12">
        <v>7</v>
      </c>
      <c r="M812" s="8">
        <v>2023</v>
      </c>
      <c r="N812" s="9">
        <v>585614.88</v>
      </c>
      <c r="O812" s="13">
        <v>42451</v>
      </c>
      <c r="P812" s="13">
        <v>42451</v>
      </c>
    </row>
    <row r="813" spans="1:16" ht="14.25">
      <c r="A813" s="10">
        <v>2016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346</v>
      </c>
      <c r="J813" s="12" t="s">
        <v>21</v>
      </c>
      <c r="K813" s="12" t="b">
        <v>0</v>
      </c>
      <c r="L813" s="12">
        <v>5</v>
      </c>
      <c r="M813" s="8">
        <v>2021</v>
      </c>
      <c r="N813" s="9">
        <v>663414.88</v>
      </c>
      <c r="O813" s="13">
        <v>42451</v>
      </c>
      <c r="P813" s="13">
        <v>42451</v>
      </c>
    </row>
    <row r="814" spans="1:16" ht="14.25">
      <c r="A814" s="10">
        <v>2016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6</v>
      </c>
      <c r="M814" s="8">
        <v>2022</v>
      </c>
      <c r="N814" s="9">
        <v>0</v>
      </c>
      <c r="O814" s="13">
        <v>42451</v>
      </c>
      <c r="P814" s="13">
        <v>42451</v>
      </c>
    </row>
    <row r="815" spans="1:16" ht="14.25">
      <c r="A815" s="10">
        <v>2016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4</v>
      </c>
      <c r="M815" s="8">
        <v>2020</v>
      </c>
      <c r="N815" s="9">
        <v>0</v>
      </c>
      <c r="O815" s="13">
        <v>42451</v>
      </c>
      <c r="P815" s="13">
        <v>42451</v>
      </c>
    </row>
    <row r="816" spans="1:16" ht="14.25">
      <c r="A816" s="10">
        <v>2016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0</v>
      </c>
      <c r="M816" s="8">
        <v>2016</v>
      </c>
      <c r="N816" s="9">
        <v>0</v>
      </c>
      <c r="O816" s="13">
        <v>42451</v>
      </c>
      <c r="P816" s="13">
        <v>42451</v>
      </c>
    </row>
    <row r="817" spans="1:16" ht="14.25">
      <c r="A817" s="10">
        <v>2016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8</v>
      </c>
      <c r="M817" s="8">
        <v>2024</v>
      </c>
      <c r="N817" s="9">
        <v>0</v>
      </c>
      <c r="O817" s="13">
        <v>42451</v>
      </c>
      <c r="P817" s="13">
        <v>42451</v>
      </c>
    </row>
    <row r="818" spans="1:16" ht="14.25">
      <c r="A818" s="10">
        <v>2016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7</v>
      </c>
      <c r="M818" s="8">
        <v>2023</v>
      </c>
      <c r="N818" s="9">
        <v>0</v>
      </c>
      <c r="O818" s="13">
        <v>42451</v>
      </c>
      <c r="P818" s="13">
        <v>42451</v>
      </c>
    </row>
    <row r="819" spans="1:16" ht="14.25">
      <c r="A819" s="10">
        <v>2016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2</v>
      </c>
      <c r="M819" s="8">
        <v>2018</v>
      </c>
      <c r="N819" s="9">
        <v>0</v>
      </c>
      <c r="O819" s="13">
        <v>42451</v>
      </c>
      <c r="P819" s="13">
        <v>42451</v>
      </c>
    </row>
    <row r="820" spans="1:16" ht="14.25">
      <c r="A820" s="10">
        <v>2016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3</v>
      </c>
      <c r="M820" s="8">
        <v>2019</v>
      </c>
      <c r="N820" s="9">
        <v>0</v>
      </c>
      <c r="O820" s="13">
        <v>42451</v>
      </c>
      <c r="P820" s="13">
        <v>42451</v>
      </c>
    </row>
    <row r="821" spans="1:16" ht="14.25">
      <c r="A821" s="10">
        <v>2016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5</v>
      </c>
      <c r="M821" s="8">
        <v>2021</v>
      </c>
      <c r="N821" s="9">
        <v>0</v>
      </c>
      <c r="O821" s="13">
        <v>42451</v>
      </c>
      <c r="P821" s="13">
        <v>42451</v>
      </c>
    </row>
    <row r="822" spans="1:16" ht="14.25">
      <c r="A822" s="10">
        <v>2016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1</v>
      </c>
      <c r="M822" s="8">
        <v>2017</v>
      </c>
      <c r="N822" s="9">
        <v>0</v>
      </c>
      <c r="O822" s="13">
        <v>42451</v>
      </c>
      <c r="P822" s="13">
        <v>42451</v>
      </c>
    </row>
    <row r="823" spans="1:16" ht="14.25">
      <c r="A823" s="10">
        <v>2016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2</v>
      </c>
      <c r="M823" s="8">
        <v>2018</v>
      </c>
      <c r="N823" s="9">
        <v>3101000</v>
      </c>
      <c r="O823" s="13">
        <v>42451</v>
      </c>
      <c r="P823" s="13">
        <v>42451</v>
      </c>
    </row>
    <row r="824" spans="1:16" ht="14.25">
      <c r="A824" s="10">
        <v>2016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5</v>
      </c>
      <c r="M824" s="8">
        <v>2021</v>
      </c>
      <c r="N824" s="9">
        <v>0</v>
      </c>
      <c r="O824" s="13">
        <v>42451</v>
      </c>
      <c r="P824" s="13">
        <v>42451</v>
      </c>
    </row>
    <row r="825" spans="1:16" ht="14.25">
      <c r="A825" s="10">
        <v>2016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3</v>
      </c>
      <c r="M825" s="8">
        <v>2019</v>
      </c>
      <c r="N825" s="9">
        <v>3163000</v>
      </c>
      <c r="O825" s="13">
        <v>42451</v>
      </c>
      <c r="P825" s="13">
        <v>42451</v>
      </c>
    </row>
    <row r="826" spans="1:16" ht="14.25">
      <c r="A826" s="10">
        <v>2016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4</v>
      </c>
      <c r="M826" s="8">
        <v>2020</v>
      </c>
      <c r="N826" s="9">
        <v>0</v>
      </c>
      <c r="O826" s="13">
        <v>42451</v>
      </c>
      <c r="P826" s="13">
        <v>42451</v>
      </c>
    </row>
    <row r="827" spans="1:16" ht="14.25">
      <c r="A827" s="10">
        <v>2016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8</v>
      </c>
      <c r="M827" s="8">
        <v>2024</v>
      </c>
      <c r="N827" s="9">
        <v>0</v>
      </c>
      <c r="O827" s="13">
        <v>42451</v>
      </c>
      <c r="P827" s="13">
        <v>42451</v>
      </c>
    </row>
    <row r="828" spans="1:16" ht="14.25">
      <c r="A828" s="10">
        <v>2016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1</v>
      </c>
      <c r="M828" s="8">
        <v>2017</v>
      </c>
      <c r="N828" s="9">
        <v>3041000</v>
      </c>
      <c r="O828" s="13">
        <v>42451</v>
      </c>
      <c r="P828" s="13">
        <v>42451</v>
      </c>
    </row>
    <row r="829" spans="1:16" ht="14.25">
      <c r="A829" s="10">
        <v>2016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6</v>
      </c>
      <c r="M829" s="8">
        <v>2022</v>
      </c>
      <c r="N829" s="9">
        <v>0</v>
      </c>
      <c r="O829" s="13">
        <v>42451</v>
      </c>
      <c r="P829" s="13">
        <v>42451</v>
      </c>
    </row>
    <row r="830" spans="1:16" ht="14.25">
      <c r="A830" s="10">
        <v>2016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0</v>
      </c>
      <c r="M830" s="8">
        <v>2016</v>
      </c>
      <c r="N830" s="9">
        <v>2981000</v>
      </c>
      <c r="O830" s="13">
        <v>42451</v>
      </c>
      <c r="P830" s="13">
        <v>42451</v>
      </c>
    </row>
    <row r="831" spans="1:16" ht="14.25">
      <c r="A831" s="10">
        <v>2016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7</v>
      </c>
      <c r="M831" s="8">
        <v>2023</v>
      </c>
      <c r="N831" s="9">
        <v>0</v>
      </c>
      <c r="O831" s="13">
        <v>42451</v>
      </c>
      <c r="P831" s="13">
        <v>42451</v>
      </c>
    </row>
    <row r="832" spans="1:16" ht="14.25">
      <c r="A832" s="10">
        <v>2016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385</v>
      </c>
      <c r="K832" s="12" t="b">
        <v>1</v>
      </c>
      <c r="L832" s="12">
        <v>5</v>
      </c>
      <c r="M832" s="8">
        <v>2021</v>
      </c>
      <c r="N832" s="9">
        <v>0</v>
      </c>
      <c r="O832" s="13">
        <v>42451</v>
      </c>
      <c r="P832" s="13">
        <v>42451</v>
      </c>
    </row>
    <row r="833" spans="1:16" ht="14.25">
      <c r="A833" s="10">
        <v>2016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385</v>
      </c>
      <c r="K833" s="12" t="b">
        <v>1</v>
      </c>
      <c r="L833" s="12">
        <v>0</v>
      </c>
      <c r="M833" s="8">
        <v>2016</v>
      </c>
      <c r="N833" s="9">
        <v>0</v>
      </c>
      <c r="O833" s="13">
        <v>42451</v>
      </c>
      <c r="P833" s="13">
        <v>42451</v>
      </c>
    </row>
    <row r="834" spans="1:16" ht="14.25">
      <c r="A834" s="10">
        <v>2016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385</v>
      </c>
      <c r="K834" s="12" t="b">
        <v>1</v>
      </c>
      <c r="L834" s="12">
        <v>8</v>
      </c>
      <c r="M834" s="8">
        <v>2024</v>
      </c>
      <c r="N834" s="9">
        <v>0</v>
      </c>
      <c r="O834" s="13">
        <v>42451</v>
      </c>
      <c r="P834" s="13">
        <v>42451</v>
      </c>
    </row>
    <row r="835" spans="1:16" ht="14.25">
      <c r="A835" s="10">
        <v>2016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385</v>
      </c>
      <c r="K835" s="12" t="b">
        <v>1</v>
      </c>
      <c r="L835" s="12">
        <v>4</v>
      </c>
      <c r="M835" s="8">
        <v>2020</v>
      </c>
      <c r="N835" s="9">
        <v>0</v>
      </c>
      <c r="O835" s="13">
        <v>42451</v>
      </c>
      <c r="P835" s="13">
        <v>42451</v>
      </c>
    </row>
    <row r="836" spans="1:16" ht="14.25">
      <c r="A836" s="10">
        <v>2016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385</v>
      </c>
      <c r="K836" s="12" t="b">
        <v>1</v>
      </c>
      <c r="L836" s="12">
        <v>6</v>
      </c>
      <c r="M836" s="8">
        <v>2022</v>
      </c>
      <c r="N836" s="9">
        <v>0</v>
      </c>
      <c r="O836" s="13">
        <v>42451</v>
      </c>
      <c r="P836" s="13">
        <v>42451</v>
      </c>
    </row>
    <row r="837" spans="1:16" ht="14.25">
      <c r="A837" s="10">
        <v>2016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385</v>
      </c>
      <c r="K837" s="12" t="b">
        <v>1</v>
      </c>
      <c r="L837" s="12">
        <v>2</v>
      </c>
      <c r="M837" s="8">
        <v>2018</v>
      </c>
      <c r="N837" s="9">
        <v>0</v>
      </c>
      <c r="O837" s="13">
        <v>42451</v>
      </c>
      <c r="P837" s="13">
        <v>42451</v>
      </c>
    </row>
    <row r="838" spans="1:16" ht="14.25">
      <c r="A838" s="10">
        <v>2016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385</v>
      </c>
      <c r="K838" s="12" t="b">
        <v>1</v>
      </c>
      <c r="L838" s="12">
        <v>1</v>
      </c>
      <c r="M838" s="8">
        <v>2017</v>
      </c>
      <c r="N838" s="9">
        <v>0</v>
      </c>
      <c r="O838" s="13">
        <v>42451</v>
      </c>
      <c r="P838" s="13">
        <v>42451</v>
      </c>
    </row>
    <row r="839" spans="1:16" ht="14.25">
      <c r="A839" s="10">
        <v>2016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385</v>
      </c>
      <c r="K839" s="12" t="b">
        <v>1</v>
      </c>
      <c r="L839" s="12">
        <v>3</v>
      </c>
      <c r="M839" s="8">
        <v>2019</v>
      </c>
      <c r="N839" s="9">
        <v>0</v>
      </c>
      <c r="O839" s="13">
        <v>42451</v>
      </c>
      <c r="P839" s="13">
        <v>42451</v>
      </c>
    </row>
    <row r="840" spans="1:16" ht="14.25">
      <c r="A840" s="10">
        <v>2016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385</v>
      </c>
      <c r="K840" s="12" t="b">
        <v>1</v>
      </c>
      <c r="L840" s="12">
        <v>7</v>
      </c>
      <c r="M840" s="8">
        <v>2023</v>
      </c>
      <c r="N840" s="9">
        <v>0</v>
      </c>
      <c r="O840" s="13">
        <v>42451</v>
      </c>
      <c r="P840" s="13">
        <v>42451</v>
      </c>
    </row>
    <row r="841" spans="1:16" ht="14.25">
      <c r="A841" s="10">
        <v>2016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410</v>
      </c>
      <c r="H841" s="12">
        <v>8</v>
      </c>
      <c r="I841" s="12"/>
      <c r="J841" s="12" t="s">
        <v>142</v>
      </c>
      <c r="K841" s="12" t="b">
        <v>1</v>
      </c>
      <c r="L841" s="12">
        <v>7</v>
      </c>
      <c r="M841" s="8">
        <v>2023</v>
      </c>
      <c r="N841" s="9">
        <v>0</v>
      </c>
      <c r="O841" s="13">
        <v>42451</v>
      </c>
      <c r="P841" s="13">
        <v>42451</v>
      </c>
    </row>
    <row r="842" spans="1:16" ht="14.25">
      <c r="A842" s="10">
        <v>2016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382</v>
      </c>
      <c r="K842" s="12" t="b">
        <v>1</v>
      </c>
      <c r="L842" s="12">
        <v>6</v>
      </c>
      <c r="M842" s="8">
        <v>2022</v>
      </c>
      <c r="N842" s="9">
        <v>0</v>
      </c>
      <c r="O842" s="13">
        <v>42451</v>
      </c>
      <c r="P842" s="13">
        <v>42451</v>
      </c>
    </row>
    <row r="843" spans="1:16" ht="14.25">
      <c r="A843" s="10">
        <v>2016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382</v>
      </c>
      <c r="K843" s="12" t="b">
        <v>1</v>
      </c>
      <c r="L843" s="12">
        <v>8</v>
      </c>
      <c r="M843" s="8">
        <v>2024</v>
      </c>
      <c r="N843" s="9">
        <v>0</v>
      </c>
      <c r="O843" s="13">
        <v>42451</v>
      </c>
      <c r="P843" s="13">
        <v>42451</v>
      </c>
    </row>
    <row r="844" spans="1:16" ht="14.25">
      <c r="A844" s="10">
        <v>2016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382</v>
      </c>
      <c r="K844" s="12" t="b">
        <v>1</v>
      </c>
      <c r="L844" s="12">
        <v>2</v>
      </c>
      <c r="M844" s="8">
        <v>2018</v>
      </c>
      <c r="N844" s="9">
        <v>0</v>
      </c>
      <c r="O844" s="13">
        <v>42451</v>
      </c>
      <c r="P844" s="13">
        <v>42451</v>
      </c>
    </row>
    <row r="845" spans="1:16" ht="14.25">
      <c r="A845" s="10">
        <v>2016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382</v>
      </c>
      <c r="K845" s="12" t="b">
        <v>1</v>
      </c>
      <c r="L845" s="12">
        <v>7</v>
      </c>
      <c r="M845" s="8">
        <v>2023</v>
      </c>
      <c r="N845" s="9">
        <v>0</v>
      </c>
      <c r="O845" s="13">
        <v>42451</v>
      </c>
      <c r="P845" s="13">
        <v>42451</v>
      </c>
    </row>
    <row r="846" spans="1:16" ht="14.25">
      <c r="A846" s="10">
        <v>2016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382</v>
      </c>
      <c r="K846" s="12" t="b">
        <v>1</v>
      </c>
      <c r="L846" s="12">
        <v>5</v>
      </c>
      <c r="M846" s="8">
        <v>2021</v>
      </c>
      <c r="N846" s="9">
        <v>0</v>
      </c>
      <c r="O846" s="13">
        <v>42451</v>
      </c>
      <c r="P846" s="13">
        <v>42451</v>
      </c>
    </row>
    <row r="847" spans="1:16" ht="14.25">
      <c r="A847" s="10">
        <v>2016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382</v>
      </c>
      <c r="K847" s="12" t="b">
        <v>1</v>
      </c>
      <c r="L847" s="12">
        <v>0</v>
      </c>
      <c r="M847" s="8">
        <v>2016</v>
      </c>
      <c r="N847" s="9">
        <v>0</v>
      </c>
      <c r="O847" s="13">
        <v>42451</v>
      </c>
      <c r="P847" s="13">
        <v>42451</v>
      </c>
    </row>
    <row r="848" spans="1:16" ht="14.25">
      <c r="A848" s="10">
        <v>2016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382</v>
      </c>
      <c r="K848" s="12" t="b">
        <v>1</v>
      </c>
      <c r="L848" s="12">
        <v>1</v>
      </c>
      <c r="M848" s="8">
        <v>2017</v>
      </c>
      <c r="N848" s="9">
        <v>0</v>
      </c>
      <c r="O848" s="13">
        <v>42451</v>
      </c>
      <c r="P848" s="13">
        <v>42451</v>
      </c>
    </row>
    <row r="849" spans="1:16" ht="14.25">
      <c r="A849" s="10">
        <v>2016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382</v>
      </c>
      <c r="K849" s="12" t="b">
        <v>1</v>
      </c>
      <c r="L849" s="12">
        <v>4</v>
      </c>
      <c r="M849" s="8">
        <v>2020</v>
      </c>
      <c r="N849" s="9">
        <v>0</v>
      </c>
      <c r="O849" s="13">
        <v>42451</v>
      </c>
      <c r="P849" s="13">
        <v>42451</v>
      </c>
    </row>
    <row r="850" spans="1:16" ht="14.25">
      <c r="A850" s="10">
        <v>2016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765</v>
      </c>
      <c r="H850" s="12">
        <v>12.6</v>
      </c>
      <c r="I850" s="12"/>
      <c r="J850" s="12" t="s">
        <v>382</v>
      </c>
      <c r="K850" s="12" t="b">
        <v>1</v>
      </c>
      <c r="L850" s="12">
        <v>3</v>
      </c>
      <c r="M850" s="8">
        <v>2019</v>
      </c>
      <c r="N850" s="9">
        <v>0</v>
      </c>
      <c r="O850" s="13">
        <v>42451</v>
      </c>
      <c r="P850" s="13">
        <v>42451</v>
      </c>
    </row>
    <row r="851" spans="1:16" ht="14.25">
      <c r="A851" s="10">
        <v>2016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485</v>
      </c>
      <c r="K851" s="12" t="b">
        <v>1</v>
      </c>
      <c r="L851" s="12">
        <v>4</v>
      </c>
      <c r="M851" s="8">
        <v>2020</v>
      </c>
      <c r="N851" s="9">
        <v>0</v>
      </c>
      <c r="O851" s="13">
        <v>42451</v>
      </c>
      <c r="P851" s="13">
        <v>42451</v>
      </c>
    </row>
    <row r="852" spans="1:16" ht="14.25">
      <c r="A852" s="10">
        <v>2016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485</v>
      </c>
      <c r="K852" s="12" t="b">
        <v>1</v>
      </c>
      <c r="L852" s="12">
        <v>2</v>
      </c>
      <c r="M852" s="8">
        <v>2018</v>
      </c>
      <c r="N852" s="9">
        <v>0</v>
      </c>
      <c r="O852" s="13">
        <v>42451</v>
      </c>
      <c r="P852" s="13">
        <v>42451</v>
      </c>
    </row>
    <row r="853" spans="1:16" ht="14.25">
      <c r="A853" s="10">
        <v>2016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485</v>
      </c>
      <c r="K853" s="12" t="b">
        <v>1</v>
      </c>
      <c r="L853" s="12">
        <v>1</v>
      </c>
      <c r="M853" s="8">
        <v>2017</v>
      </c>
      <c r="N853" s="9">
        <v>0</v>
      </c>
      <c r="O853" s="13">
        <v>42451</v>
      </c>
      <c r="P853" s="13">
        <v>42451</v>
      </c>
    </row>
    <row r="854" spans="1:16" ht="14.25">
      <c r="A854" s="10">
        <v>2016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485</v>
      </c>
      <c r="K854" s="12" t="b">
        <v>1</v>
      </c>
      <c r="L854" s="12">
        <v>7</v>
      </c>
      <c r="M854" s="8">
        <v>2023</v>
      </c>
      <c r="N854" s="9">
        <v>0</v>
      </c>
      <c r="O854" s="13">
        <v>42451</v>
      </c>
      <c r="P854" s="13">
        <v>42451</v>
      </c>
    </row>
    <row r="855" spans="1:16" ht="14.25">
      <c r="A855" s="10">
        <v>2016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485</v>
      </c>
      <c r="K855" s="12" t="b">
        <v>1</v>
      </c>
      <c r="L855" s="12">
        <v>6</v>
      </c>
      <c r="M855" s="8">
        <v>2022</v>
      </c>
      <c r="N855" s="9">
        <v>0</v>
      </c>
      <c r="O855" s="13">
        <v>42451</v>
      </c>
      <c r="P855" s="13">
        <v>42451</v>
      </c>
    </row>
    <row r="856" spans="1:16" ht="14.25">
      <c r="A856" s="10">
        <v>2016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485</v>
      </c>
      <c r="K856" s="12" t="b">
        <v>1</v>
      </c>
      <c r="L856" s="12">
        <v>3</v>
      </c>
      <c r="M856" s="8">
        <v>2019</v>
      </c>
      <c r="N856" s="9">
        <v>0</v>
      </c>
      <c r="O856" s="13">
        <v>42451</v>
      </c>
      <c r="P856" s="13">
        <v>42451</v>
      </c>
    </row>
    <row r="857" spans="1:16" ht="14.25">
      <c r="A857" s="10">
        <v>2016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485</v>
      </c>
      <c r="K857" s="12" t="b">
        <v>1</v>
      </c>
      <c r="L857" s="12">
        <v>0</v>
      </c>
      <c r="M857" s="8">
        <v>2016</v>
      </c>
      <c r="N857" s="9">
        <v>0</v>
      </c>
      <c r="O857" s="13">
        <v>42451</v>
      </c>
      <c r="P857" s="13">
        <v>42451</v>
      </c>
    </row>
    <row r="858" spans="1:16" ht="14.25">
      <c r="A858" s="10">
        <v>2016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485</v>
      </c>
      <c r="K858" s="12" t="b">
        <v>1</v>
      </c>
      <c r="L858" s="12">
        <v>5</v>
      </c>
      <c r="M858" s="8">
        <v>2021</v>
      </c>
      <c r="N858" s="9">
        <v>0</v>
      </c>
      <c r="O858" s="13">
        <v>42451</v>
      </c>
      <c r="P858" s="13">
        <v>42451</v>
      </c>
    </row>
    <row r="859" spans="1:16" ht="14.25">
      <c r="A859" s="10">
        <v>2016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1020</v>
      </c>
      <c r="H859" s="12">
        <v>16.3</v>
      </c>
      <c r="I859" s="12"/>
      <c r="J859" s="12" t="s">
        <v>485</v>
      </c>
      <c r="K859" s="12" t="b">
        <v>1</v>
      </c>
      <c r="L859" s="12">
        <v>8</v>
      </c>
      <c r="M859" s="8">
        <v>2024</v>
      </c>
      <c r="N859" s="9">
        <v>0</v>
      </c>
      <c r="O859" s="13">
        <v>42451</v>
      </c>
      <c r="P859" s="13">
        <v>42451</v>
      </c>
    </row>
    <row r="860" spans="1:16" ht="14.25">
      <c r="A860" s="10">
        <v>2016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5</v>
      </c>
      <c r="M860" s="8">
        <v>2021</v>
      </c>
      <c r="N860" s="9">
        <v>0</v>
      </c>
      <c r="O860" s="13">
        <v>42451</v>
      </c>
      <c r="P860" s="13">
        <v>42451</v>
      </c>
    </row>
    <row r="861" spans="1:16" ht="14.25">
      <c r="A861" s="10">
        <v>2016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2</v>
      </c>
      <c r="M861" s="8">
        <v>2018</v>
      </c>
      <c r="N861" s="9">
        <v>0</v>
      </c>
      <c r="O861" s="13">
        <v>42451</v>
      </c>
      <c r="P861" s="13">
        <v>42451</v>
      </c>
    </row>
    <row r="862" spans="1:16" ht="14.25">
      <c r="A862" s="10">
        <v>2016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8</v>
      </c>
      <c r="M862" s="8">
        <v>2024</v>
      </c>
      <c r="N862" s="9">
        <v>0</v>
      </c>
      <c r="O862" s="13">
        <v>42451</v>
      </c>
      <c r="P862" s="13">
        <v>42451</v>
      </c>
    </row>
    <row r="863" spans="1:16" ht="14.25">
      <c r="A863" s="10">
        <v>2016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0</v>
      </c>
      <c r="M863" s="8">
        <v>2016</v>
      </c>
      <c r="N863" s="9">
        <v>0</v>
      </c>
      <c r="O863" s="13">
        <v>42451</v>
      </c>
      <c r="P863" s="13">
        <v>42451</v>
      </c>
    </row>
    <row r="864" spans="1:16" ht="14.25">
      <c r="A864" s="10">
        <v>2016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7</v>
      </c>
      <c r="M864" s="8">
        <v>2023</v>
      </c>
      <c r="N864" s="9">
        <v>0</v>
      </c>
      <c r="O864" s="13">
        <v>42451</v>
      </c>
      <c r="P864" s="13">
        <v>42451</v>
      </c>
    </row>
    <row r="865" spans="1:16" ht="14.25">
      <c r="A865" s="10">
        <v>2016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6</v>
      </c>
      <c r="M865" s="8">
        <v>2022</v>
      </c>
      <c r="N865" s="9">
        <v>0</v>
      </c>
      <c r="O865" s="13">
        <v>42451</v>
      </c>
      <c r="P865" s="13">
        <v>42451</v>
      </c>
    </row>
    <row r="866" spans="1:16" ht="14.25">
      <c r="A866" s="10">
        <v>2016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1</v>
      </c>
      <c r="M866" s="8">
        <v>2017</v>
      </c>
      <c r="N866" s="9">
        <v>0</v>
      </c>
      <c r="O866" s="13">
        <v>42451</v>
      </c>
      <c r="P866" s="13">
        <v>42451</v>
      </c>
    </row>
    <row r="867" spans="1:16" ht="14.25">
      <c r="A867" s="10">
        <v>2016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3</v>
      </c>
      <c r="M867" s="8">
        <v>2019</v>
      </c>
      <c r="N867" s="9">
        <v>0</v>
      </c>
      <c r="O867" s="13">
        <v>42451</v>
      </c>
      <c r="P867" s="13">
        <v>42451</v>
      </c>
    </row>
    <row r="868" spans="1:16" ht="14.25">
      <c r="A868" s="10">
        <v>2016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670</v>
      </c>
      <c r="H868" s="12">
        <v>12.1</v>
      </c>
      <c r="I868" s="12"/>
      <c r="J868" s="12" t="s">
        <v>94</v>
      </c>
      <c r="K868" s="12" t="b">
        <v>1</v>
      </c>
      <c r="L868" s="12">
        <v>4</v>
      </c>
      <c r="M868" s="8">
        <v>2020</v>
      </c>
      <c r="N868" s="9">
        <v>0</v>
      </c>
      <c r="O868" s="13">
        <v>42451</v>
      </c>
      <c r="P868" s="13">
        <v>42451</v>
      </c>
    </row>
    <row r="869" spans="1:16" ht="14.25">
      <c r="A869" s="10">
        <v>2016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182</v>
      </c>
      <c r="H869" s="12" t="s">
        <v>342</v>
      </c>
      <c r="I869" s="12"/>
      <c r="J869" s="12" t="s">
        <v>343</v>
      </c>
      <c r="K869" s="12" t="b">
        <v>0</v>
      </c>
      <c r="L869" s="12">
        <v>2</v>
      </c>
      <c r="M869" s="8">
        <v>2018</v>
      </c>
      <c r="N869" s="9">
        <v>0</v>
      </c>
      <c r="O869" s="13">
        <v>42451</v>
      </c>
      <c r="P869" s="13">
        <v>42451</v>
      </c>
    </row>
    <row r="870" spans="1:16" ht="14.25">
      <c r="A870" s="10">
        <v>2016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182</v>
      </c>
      <c r="H870" s="12" t="s">
        <v>342</v>
      </c>
      <c r="I870" s="12"/>
      <c r="J870" s="12" t="s">
        <v>343</v>
      </c>
      <c r="K870" s="12" t="b">
        <v>0</v>
      </c>
      <c r="L870" s="12">
        <v>0</v>
      </c>
      <c r="M870" s="8">
        <v>2016</v>
      </c>
      <c r="N870" s="9">
        <v>0</v>
      </c>
      <c r="O870" s="13">
        <v>42451</v>
      </c>
      <c r="P870" s="13">
        <v>42451</v>
      </c>
    </row>
    <row r="871" spans="1:16" ht="14.25">
      <c r="A871" s="10">
        <v>2016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182</v>
      </c>
      <c r="H871" s="12" t="s">
        <v>342</v>
      </c>
      <c r="I871" s="12"/>
      <c r="J871" s="12" t="s">
        <v>343</v>
      </c>
      <c r="K871" s="12" t="b">
        <v>0</v>
      </c>
      <c r="L871" s="12">
        <v>5</v>
      </c>
      <c r="M871" s="8">
        <v>2021</v>
      </c>
      <c r="N871" s="9">
        <v>0</v>
      </c>
      <c r="O871" s="13">
        <v>42451</v>
      </c>
      <c r="P871" s="13">
        <v>42451</v>
      </c>
    </row>
    <row r="872" spans="1:16" ht="14.25">
      <c r="A872" s="10">
        <v>2016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182</v>
      </c>
      <c r="H872" s="12" t="s">
        <v>342</v>
      </c>
      <c r="I872" s="12"/>
      <c r="J872" s="12" t="s">
        <v>343</v>
      </c>
      <c r="K872" s="12" t="b">
        <v>0</v>
      </c>
      <c r="L872" s="12">
        <v>3</v>
      </c>
      <c r="M872" s="8">
        <v>2019</v>
      </c>
      <c r="N872" s="9">
        <v>0</v>
      </c>
      <c r="O872" s="13">
        <v>42451</v>
      </c>
      <c r="P872" s="13">
        <v>42451</v>
      </c>
    </row>
    <row r="873" spans="1:16" ht="14.25">
      <c r="A873" s="10">
        <v>2016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182</v>
      </c>
      <c r="H873" s="12" t="s">
        <v>342</v>
      </c>
      <c r="I873" s="12"/>
      <c r="J873" s="12" t="s">
        <v>343</v>
      </c>
      <c r="K873" s="12" t="b">
        <v>0</v>
      </c>
      <c r="L873" s="12">
        <v>8</v>
      </c>
      <c r="M873" s="8">
        <v>2024</v>
      </c>
      <c r="N873" s="9">
        <v>0</v>
      </c>
      <c r="O873" s="13">
        <v>42451</v>
      </c>
      <c r="P873" s="13">
        <v>42451</v>
      </c>
    </row>
    <row r="874" spans="1:16" ht="14.25">
      <c r="A874" s="10">
        <v>2016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182</v>
      </c>
      <c r="H874" s="12" t="s">
        <v>342</v>
      </c>
      <c r="I874" s="12"/>
      <c r="J874" s="12" t="s">
        <v>343</v>
      </c>
      <c r="K874" s="12" t="b">
        <v>0</v>
      </c>
      <c r="L874" s="12">
        <v>7</v>
      </c>
      <c r="M874" s="8">
        <v>2023</v>
      </c>
      <c r="N874" s="9">
        <v>0</v>
      </c>
      <c r="O874" s="13">
        <v>42451</v>
      </c>
      <c r="P874" s="13">
        <v>42451</v>
      </c>
    </row>
    <row r="875" spans="1:16" ht="14.25">
      <c r="A875" s="10">
        <v>2016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182</v>
      </c>
      <c r="H875" s="12" t="s">
        <v>342</v>
      </c>
      <c r="I875" s="12"/>
      <c r="J875" s="12" t="s">
        <v>343</v>
      </c>
      <c r="K875" s="12" t="b">
        <v>0</v>
      </c>
      <c r="L875" s="12">
        <v>1</v>
      </c>
      <c r="M875" s="8">
        <v>2017</v>
      </c>
      <c r="N875" s="9">
        <v>0</v>
      </c>
      <c r="O875" s="13">
        <v>42451</v>
      </c>
      <c r="P875" s="13">
        <v>42451</v>
      </c>
    </row>
    <row r="876" spans="1:16" ht="14.25">
      <c r="A876" s="10">
        <v>2016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182</v>
      </c>
      <c r="H876" s="12" t="s">
        <v>342</v>
      </c>
      <c r="I876" s="12"/>
      <c r="J876" s="12" t="s">
        <v>343</v>
      </c>
      <c r="K876" s="12" t="b">
        <v>0</v>
      </c>
      <c r="L876" s="12">
        <v>6</v>
      </c>
      <c r="M876" s="8">
        <v>2022</v>
      </c>
      <c r="N876" s="9">
        <v>0</v>
      </c>
      <c r="O876" s="13">
        <v>42451</v>
      </c>
      <c r="P876" s="13">
        <v>42451</v>
      </c>
    </row>
    <row r="877" spans="1:16" ht="14.25">
      <c r="A877" s="10">
        <v>2016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182</v>
      </c>
      <c r="H877" s="12" t="s">
        <v>342</v>
      </c>
      <c r="I877" s="12"/>
      <c r="J877" s="12" t="s">
        <v>343</v>
      </c>
      <c r="K877" s="12" t="b">
        <v>0</v>
      </c>
      <c r="L877" s="12">
        <v>4</v>
      </c>
      <c r="M877" s="8">
        <v>2020</v>
      </c>
      <c r="N877" s="9">
        <v>0</v>
      </c>
      <c r="O877" s="13">
        <v>42451</v>
      </c>
      <c r="P877" s="13">
        <v>42451</v>
      </c>
    </row>
    <row r="878" spans="1:16" ht="14.25">
      <c r="A878" s="10">
        <v>2016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763</v>
      </c>
      <c r="H878" s="12">
        <v>12.5</v>
      </c>
      <c r="I878" s="12"/>
      <c r="J878" s="12" t="s">
        <v>378</v>
      </c>
      <c r="K878" s="12" t="b">
        <v>1</v>
      </c>
      <c r="L878" s="12">
        <v>0</v>
      </c>
      <c r="M878" s="8">
        <v>2016</v>
      </c>
      <c r="N878" s="9">
        <v>0</v>
      </c>
      <c r="O878" s="13">
        <v>42451</v>
      </c>
      <c r="P878" s="13">
        <v>42451</v>
      </c>
    </row>
    <row r="879" spans="1:16" ht="14.25">
      <c r="A879" s="10">
        <v>2016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378</v>
      </c>
      <c r="K879" s="12" t="b">
        <v>1</v>
      </c>
      <c r="L879" s="12">
        <v>4</v>
      </c>
      <c r="M879" s="8">
        <v>2020</v>
      </c>
      <c r="N879" s="9">
        <v>0</v>
      </c>
      <c r="O879" s="13">
        <v>42451</v>
      </c>
      <c r="P879" s="13">
        <v>42451</v>
      </c>
    </row>
    <row r="880" spans="1:16" ht="14.25">
      <c r="A880" s="10">
        <v>2016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378</v>
      </c>
      <c r="K880" s="12" t="b">
        <v>1</v>
      </c>
      <c r="L880" s="12">
        <v>3</v>
      </c>
      <c r="M880" s="8">
        <v>2019</v>
      </c>
      <c r="N880" s="9">
        <v>0</v>
      </c>
      <c r="O880" s="13">
        <v>42451</v>
      </c>
      <c r="P880" s="13">
        <v>42451</v>
      </c>
    </row>
    <row r="881" spans="1:16" ht="14.25">
      <c r="A881" s="10">
        <v>2016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378</v>
      </c>
      <c r="K881" s="12" t="b">
        <v>1</v>
      </c>
      <c r="L881" s="12">
        <v>5</v>
      </c>
      <c r="M881" s="8">
        <v>2021</v>
      </c>
      <c r="N881" s="9">
        <v>0</v>
      </c>
      <c r="O881" s="13">
        <v>42451</v>
      </c>
      <c r="P881" s="13">
        <v>42451</v>
      </c>
    </row>
    <row r="882" spans="1:16" ht="14.25">
      <c r="A882" s="10">
        <v>2016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378</v>
      </c>
      <c r="K882" s="12" t="b">
        <v>1</v>
      </c>
      <c r="L882" s="12">
        <v>1</v>
      </c>
      <c r="M882" s="8">
        <v>2017</v>
      </c>
      <c r="N882" s="9">
        <v>0</v>
      </c>
      <c r="O882" s="13">
        <v>42451</v>
      </c>
      <c r="P882" s="13">
        <v>42451</v>
      </c>
    </row>
    <row r="883" spans="1:16" ht="14.25">
      <c r="A883" s="10">
        <v>2016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378</v>
      </c>
      <c r="K883" s="12" t="b">
        <v>1</v>
      </c>
      <c r="L883" s="12">
        <v>2</v>
      </c>
      <c r="M883" s="8">
        <v>2018</v>
      </c>
      <c r="N883" s="9">
        <v>0</v>
      </c>
      <c r="O883" s="13">
        <v>42451</v>
      </c>
      <c r="P883" s="13">
        <v>42451</v>
      </c>
    </row>
    <row r="884" spans="1:16" ht="14.25">
      <c r="A884" s="10">
        <v>2016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378</v>
      </c>
      <c r="K884" s="12" t="b">
        <v>1</v>
      </c>
      <c r="L884" s="12">
        <v>8</v>
      </c>
      <c r="M884" s="8">
        <v>2024</v>
      </c>
      <c r="N884" s="9">
        <v>0</v>
      </c>
      <c r="O884" s="13">
        <v>42451</v>
      </c>
      <c r="P884" s="13">
        <v>42451</v>
      </c>
    </row>
    <row r="885" spans="1:16" ht="14.25">
      <c r="A885" s="10">
        <v>2016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378</v>
      </c>
      <c r="K885" s="12" t="b">
        <v>1</v>
      </c>
      <c r="L885" s="12">
        <v>7</v>
      </c>
      <c r="M885" s="8">
        <v>2023</v>
      </c>
      <c r="N885" s="9">
        <v>0</v>
      </c>
      <c r="O885" s="13">
        <v>42451</v>
      </c>
      <c r="P885" s="13">
        <v>42451</v>
      </c>
    </row>
    <row r="886" spans="1:16" ht="14.25">
      <c r="A886" s="10">
        <v>2016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378</v>
      </c>
      <c r="K886" s="12" t="b">
        <v>1</v>
      </c>
      <c r="L886" s="12">
        <v>6</v>
      </c>
      <c r="M886" s="8">
        <v>2022</v>
      </c>
      <c r="N886" s="9">
        <v>0</v>
      </c>
      <c r="O886" s="13">
        <v>42451</v>
      </c>
      <c r="P886" s="13">
        <v>42451</v>
      </c>
    </row>
    <row r="887" spans="1:16" ht="14.25">
      <c r="A887" s="10">
        <v>2016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4</v>
      </c>
      <c r="M887" s="8">
        <v>2020</v>
      </c>
      <c r="N887" s="9">
        <v>0</v>
      </c>
      <c r="O887" s="13">
        <v>42451</v>
      </c>
      <c r="P887" s="13">
        <v>42451</v>
      </c>
    </row>
    <row r="888" spans="1:16" ht="14.25">
      <c r="A888" s="10">
        <v>2016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8</v>
      </c>
      <c r="M888" s="8">
        <v>2024</v>
      </c>
      <c r="N888" s="9">
        <v>0</v>
      </c>
      <c r="O888" s="13">
        <v>42451</v>
      </c>
      <c r="P888" s="13">
        <v>42451</v>
      </c>
    </row>
    <row r="889" spans="1:16" ht="14.25">
      <c r="A889" s="10">
        <v>2016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0</v>
      </c>
      <c r="M889" s="8">
        <v>2016</v>
      </c>
      <c r="N889" s="9">
        <v>0</v>
      </c>
      <c r="O889" s="13">
        <v>42451</v>
      </c>
      <c r="P889" s="13">
        <v>42451</v>
      </c>
    </row>
    <row r="890" spans="1:16" ht="14.25">
      <c r="A890" s="10">
        <v>2016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6</v>
      </c>
      <c r="M890" s="8">
        <v>2022</v>
      </c>
      <c r="N890" s="9">
        <v>0</v>
      </c>
      <c r="O890" s="13">
        <v>42451</v>
      </c>
      <c r="P890" s="13">
        <v>42451</v>
      </c>
    </row>
    <row r="891" spans="1:16" ht="14.25">
      <c r="A891" s="10">
        <v>2016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1</v>
      </c>
      <c r="M891" s="8">
        <v>2017</v>
      </c>
      <c r="N891" s="9">
        <v>0</v>
      </c>
      <c r="O891" s="13">
        <v>42451</v>
      </c>
      <c r="P891" s="13">
        <v>42451</v>
      </c>
    </row>
    <row r="892" spans="1:16" ht="14.25">
      <c r="A892" s="10">
        <v>2016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5</v>
      </c>
      <c r="M892" s="8">
        <v>2021</v>
      </c>
      <c r="N892" s="9">
        <v>0</v>
      </c>
      <c r="O892" s="13">
        <v>42451</v>
      </c>
      <c r="P892" s="13">
        <v>42451</v>
      </c>
    </row>
    <row r="893" spans="1:16" ht="14.25">
      <c r="A893" s="10">
        <v>2016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2</v>
      </c>
      <c r="M893" s="8">
        <v>2018</v>
      </c>
      <c r="N893" s="9">
        <v>0</v>
      </c>
      <c r="O893" s="13">
        <v>42451</v>
      </c>
      <c r="P893" s="13">
        <v>42451</v>
      </c>
    </row>
    <row r="894" spans="1:16" ht="14.25">
      <c r="A894" s="10">
        <v>2016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3</v>
      </c>
      <c r="M894" s="8">
        <v>2019</v>
      </c>
      <c r="N894" s="9">
        <v>0</v>
      </c>
      <c r="O894" s="13">
        <v>42451</v>
      </c>
      <c r="P894" s="13">
        <v>42451</v>
      </c>
    </row>
    <row r="895" spans="1:16" ht="14.25">
      <c r="A895" s="10">
        <v>2016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486</v>
      </c>
      <c r="J895" s="12" t="s">
        <v>374</v>
      </c>
      <c r="K895" s="12" t="b">
        <v>0</v>
      </c>
      <c r="L895" s="12">
        <v>1</v>
      </c>
      <c r="M895" s="8">
        <v>2017</v>
      </c>
      <c r="N895" s="9">
        <v>917</v>
      </c>
      <c r="O895" s="13">
        <v>42451</v>
      </c>
      <c r="P895" s="13">
        <v>42451</v>
      </c>
    </row>
    <row r="896" spans="1:16" ht="14.25">
      <c r="A896" s="10">
        <v>2016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486</v>
      </c>
      <c r="J896" s="12" t="s">
        <v>374</v>
      </c>
      <c r="K896" s="12" t="b">
        <v>0</v>
      </c>
      <c r="L896" s="12">
        <v>7</v>
      </c>
      <c r="M896" s="8">
        <v>2023</v>
      </c>
      <c r="N896" s="9">
        <v>460</v>
      </c>
      <c r="O896" s="13">
        <v>42451</v>
      </c>
      <c r="P896" s="13">
        <v>42451</v>
      </c>
    </row>
    <row r="897" spans="1:16" ht="14.25">
      <c r="A897" s="10">
        <v>2016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486</v>
      </c>
      <c r="J897" s="12" t="s">
        <v>374</v>
      </c>
      <c r="K897" s="12" t="b">
        <v>0</v>
      </c>
      <c r="L897" s="12">
        <v>4</v>
      </c>
      <c r="M897" s="8">
        <v>2020</v>
      </c>
      <c r="N897" s="9">
        <v>385</v>
      </c>
      <c r="O897" s="13">
        <v>42451</v>
      </c>
      <c r="P897" s="13">
        <v>42451</v>
      </c>
    </row>
    <row r="898" spans="1:16" ht="14.25">
      <c r="A898" s="10">
        <v>2016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486</v>
      </c>
      <c r="J898" s="12" t="s">
        <v>374</v>
      </c>
      <c r="K898" s="12" t="b">
        <v>0</v>
      </c>
      <c r="L898" s="12">
        <v>3</v>
      </c>
      <c r="M898" s="8">
        <v>2019</v>
      </c>
      <c r="N898" s="9">
        <v>539</v>
      </c>
      <c r="O898" s="13">
        <v>42451</v>
      </c>
      <c r="P898" s="13">
        <v>42451</v>
      </c>
    </row>
    <row r="899" spans="1:16" ht="14.25">
      <c r="A899" s="10">
        <v>2016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486</v>
      </c>
      <c r="J899" s="12" t="s">
        <v>374</v>
      </c>
      <c r="K899" s="12" t="b">
        <v>0</v>
      </c>
      <c r="L899" s="12">
        <v>5</v>
      </c>
      <c r="M899" s="8">
        <v>2021</v>
      </c>
      <c r="N899" s="9">
        <v>400</v>
      </c>
      <c r="O899" s="13">
        <v>42451</v>
      </c>
      <c r="P899" s="13">
        <v>42451</v>
      </c>
    </row>
    <row r="900" spans="1:16" ht="14.25">
      <c r="A900" s="10">
        <v>2016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486</v>
      </c>
      <c r="J900" s="12" t="s">
        <v>374</v>
      </c>
      <c r="K900" s="12" t="b">
        <v>0</v>
      </c>
      <c r="L900" s="12">
        <v>6</v>
      </c>
      <c r="M900" s="8">
        <v>2022</v>
      </c>
      <c r="N900" s="9">
        <v>416</v>
      </c>
      <c r="O900" s="13">
        <v>42451</v>
      </c>
      <c r="P900" s="13">
        <v>42451</v>
      </c>
    </row>
    <row r="901" spans="1:16" ht="14.25">
      <c r="A901" s="10">
        <v>2016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486</v>
      </c>
      <c r="J901" s="12" t="s">
        <v>374</v>
      </c>
      <c r="K901" s="12" t="b">
        <v>0</v>
      </c>
      <c r="L901" s="12">
        <v>0</v>
      </c>
      <c r="M901" s="8">
        <v>2016</v>
      </c>
      <c r="N901" s="9">
        <v>830</v>
      </c>
      <c r="O901" s="13">
        <v>42451</v>
      </c>
      <c r="P901" s="13">
        <v>42451</v>
      </c>
    </row>
    <row r="902" spans="1:16" ht="14.25">
      <c r="A902" s="10">
        <v>2016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486</v>
      </c>
      <c r="J902" s="12" t="s">
        <v>374</v>
      </c>
      <c r="K902" s="12" t="b">
        <v>0</v>
      </c>
      <c r="L902" s="12">
        <v>8</v>
      </c>
      <c r="M902" s="8">
        <v>2024</v>
      </c>
      <c r="N902" s="9">
        <v>486</v>
      </c>
      <c r="O902" s="13">
        <v>42451</v>
      </c>
      <c r="P902" s="13">
        <v>42451</v>
      </c>
    </row>
    <row r="903" spans="1:16" ht="14.25">
      <c r="A903" s="10">
        <v>2016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486</v>
      </c>
      <c r="J903" s="12" t="s">
        <v>374</v>
      </c>
      <c r="K903" s="12" t="b">
        <v>0</v>
      </c>
      <c r="L903" s="12">
        <v>2</v>
      </c>
      <c r="M903" s="8">
        <v>2018</v>
      </c>
      <c r="N903" s="9">
        <v>707</v>
      </c>
      <c r="O903" s="13">
        <v>42451</v>
      </c>
      <c r="P903" s="13">
        <v>42451</v>
      </c>
    </row>
    <row r="904" spans="1:16" ht="14.25">
      <c r="A904" s="10">
        <v>2016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184</v>
      </c>
      <c r="H904" s="12" t="s">
        <v>344</v>
      </c>
      <c r="I904" s="12"/>
      <c r="J904" s="12" t="s">
        <v>345</v>
      </c>
      <c r="K904" s="12" t="b">
        <v>0</v>
      </c>
      <c r="L904" s="12">
        <v>2</v>
      </c>
      <c r="M904" s="8">
        <v>2018</v>
      </c>
      <c r="N904" s="9">
        <v>0</v>
      </c>
      <c r="O904" s="13">
        <v>42451</v>
      </c>
      <c r="P904" s="13">
        <v>42451</v>
      </c>
    </row>
    <row r="905" spans="1:16" ht="14.25">
      <c r="A905" s="10">
        <v>2016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184</v>
      </c>
      <c r="H905" s="12" t="s">
        <v>344</v>
      </c>
      <c r="I905" s="12"/>
      <c r="J905" s="12" t="s">
        <v>345</v>
      </c>
      <c r="K905" s="12" t="b">
        <v>0</v>
      </c>
      <c r="L905" s="12">
        <v>7</v>
      </c>
      <c r="M905" s="8">
        <v>2023</v>
      </c>
      <c r="N905" s="9">
        <v>0</v>
      </c>
      <c r="O905" s="13">
        <v>42451</v>
      </c>
      <c r="P905" s="13">
        <v>42451</v>
      </c>
    </row>
    <row r="906" spans="1:16" ht="14.25">
      <c r="A906" s="10">
        <v>2016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184</v>
      </c>
      <c r="H906" s="12" t="s">
        <v>344</v>
      </c>
      <c r="I906" s="12"/>
      <c r="J906" s="12" t="s">
        <v>345</v>
      </c>
      <c r="K906" s="12" t="b">
        <v>0</v>
      </c>
      <c r="L906" s="12">
        <v>4</v>
      </c>
      <c r="M906" s="8">
        <v>2020</v>
      </c>
      <c r="N906" s="9">
        <v>0</v>
      </c>
      <c r="O906" s="13">
        <v>42451</v>
      </c>
      <c r="P906" s="13">
        <v>42451</v>
      </c>
    </row>
    <row r="907" spans="1:16" ht="14.25">
      <c r="A907" s="10">
        <v>2016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184</v>
      </c>
      <c r="H907" s="12" t="s">
        <v>344</v>
      </c>
      <c r="I907" s="12"/>
      <c r="J907" s="12" t="s">
        <v>345</v>
      </c>
      <c r="K907" s="12" t="b">
        <v>0</v>
      </c>
      <c r="L907" s="12">
        <v>3</v>
      </c>
      <c r="M907" s="8">
        <v>2019</v>
      </c>
      <c r="N907" s="9">
        <v>0</v>
      </c>
      <c r="O907" s="13">
        <v>42451</v>
      </c>
      <c r="P907" s="13">
        <v>42451</v>
      </c>
    </row>
    <row r="908" spans="1:16" ht="14.25">
      <c r="A908" s="10">
        <v>2016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184</v>
      </c>
      <c r="H908" s="12" t="s">
        <v>344</v>
      </c>
      <c r="I908" s="12"/>
      <c r="J908" s="12" t="s">
        <v>345</v>
      </c>
      <c r="K908" s="12" t="b">
        <v>0</v>
      </c>
      <c r="L908" s="12">
        <v>1</v>
      </c>
      <c r="M908" s="8">
        <v>2017</v>
      </c>
      <c r="N908" s="9">
        <v>0</v>
      </c>
      <c r="O908" s="13">
        <v>42451</v>
      </c>
      <c r="P908" s="13">
        <v>42451</v>
      </c>
    </row>
    <row r="909" spans="1:16" ht="14.25">
      <c r="A909" s="10">
        <v>2016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184</v>
      </c>
      <c r="H909" s="12" t="s">
        <v>344</v>
      </c>
      <c r="I909" s="12"/>
      <c r="J909" s="12" t="s">
        <v>345</v>
      </c>
      <c r="K909" s="12" t="b">
        <v>0</v>
      </c>
      <c r="L909" s="12">
        <v>0</v>
      </c>
      <c r="M909" s="8">
        <v>2016</v>
      </c>
      <c r="N909" s="9">
        <v>0</v>
      </c>
      <c r="O909" s="13">
        <v>42451</v>
      </c>
      <c r="P909" s="13">
        <v>42451</v>
      </c>
    </row>
    <row r="910" spans="1:16" ht="14.25">
      <c r="A910" s="10">
        <v>2016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184</v>
      </c>
      <c r="H910" s="12" t="s">
        <v>344</v>
      </c>
      <c r="I910" s="12"/>
      <c r="J910" s="12" t="s">
        <v>345</v>
      </c>
      <c r="K910" s="12" t="b">
        <v>0</v>
      </c>
      <c r="L910" s="12">
        <v>8</v>
      </c>
      <c r="M910" s="8">
        <v>2024</v>
      </c>
      <c r="N910" s="9">
        <v>0</v>
      </c>
      <c r="O910" s="13">
        <v>42451</v>
      </c>
      <c r="P910" s="13">
        <v>42451</v>
      </c>
    </row>
    <row r="911" spans="1:16" ht="14.25">
      <c r="A911" s="10">
        <v>2016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184</v>
      </c>
      <c r="H911" s="12" t="s">
        <v>344</v>
      </c>
      <c r="I911" s="12"/>
      <c r="J911" s="12" t="s">
        <v>345</v>
      </c>
      <c r="K911" s="12" t="b">
        <v>0</v>
      </c>
      <c r="L911" s="12">
        <v>5</v>
      </c>
      <c r="M911" s="8">
        <v>2021</v>
      </c>
      <c r="N911" s="9">
        <v>0</v>
      </c>
      <c r="O911" s="13">
        <v>42451</v>
      </c>
      <c r="P911" s="13">
        <v>42451</v>
      </c>
    </row>
    <row r="912" spans="1:16" ht="14.25">
      <c r="A912" s="10">
        <v>2016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184</v>
      </c>
      <c r="H912" s="12" t="s">
        <v>344</v>
      </c>
      <c r="I912" s="12"/>
      <c r="J912" s="12" t="s">
        <v>345</v>
      </c>
      <c r="K912" s="12" t="b">
        <v>0</v>
      </c>
      <c r="L912" s="12">
        <v>6</v>
      </c>
      <c r="M912" s="8">
        <v>2022</v>
      </c>
      <c r="N912" s="9">
        <v>0</v>
      </c>
      <c r="O912" s="13">
        <v>42451</v>
      </c>
      <c r="P912" s="13">
        <v>42451</v>
      </c>
    </row>
    <row r="913" spans="1:16" ht="14.25">
      <c r="A913" s="10">
        <v>2016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1</v>
      </c>
      <c r="M913" s="8">
        <v>2017</v>
      </c>
      <c r="N913" s="9">
        <v>2277000</v>
      </c>
      <c r="O913" s="13">
        <v>42451</v>
      </c>
      <c r="P913" s="13">
        <v>42451</v>
      </c>
    </row>
    <row r="914" spans="1:16" ht="14.25">
      <c r="A914" s="10">
        <v>2016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3</v>
      </c>
      <c r="M914" s="8">
        <v>2019</v>
      </c>
      <c r="N914" s="9">
        <v>0</v>
      </c>
      <c r="O914" s="13">
        <v>42451</v>
      </c>
      <c r="P914" s="13">
        <v>42451</v>
      </c>
    </row>
    <row r="915" spans="1:16" ht="14.25">
      <c r="A915" s="10">
        <v>2016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0</v>
      </c>
      <c r="M915" s="8">
        <v>2016</v>
      </c>
      <c r="N915" s="9">
        <v>2230738</v>
      </c>
      <c r="O915" s="13">
        <v>42451</v>
      </c>
      <c r="P915" s="13">
        <v>42451</v>
      </c>
    </row>
    <row r="916" spans="1:16" ht="14.25">
      <c r="A916" s="10">
        <v>2016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8</v>
      </c>
      <c r="M916" s="8">
        <v>2024</v>
      </c>
      <c r="N916" s="9">
        <v>0</v>
      </c>
      <c r="O916" s="13">
        <v>42451</v>
      </c>
      <c r="P916" s="13">
        <v>42451</v>
      </c>
    </row>
    <row r="917" spans="1:16" ht="14.25">
      <c r="A917" s="10">
        <v>2016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5</v>
      </c>
      <c r="M917" s="8">
        <v>2021</v>
      </c>
      <c r="N917" s="9">
        <v>0</v>
      </c>
      <c r="O917" s="13">
        <v>42451</v>
      </c>
      <c r="P917" s="13">
        <v>42451</v>
      </c>
    </row>
    <row r="918" spans="1:16" ht="14.25">
      <c r="A918" s="10">
        <v>2016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6</v>
      </c>
      <c r="M918" s="8">
        <v>2022</v>
      </c>
      <c r="N918" s="9">
        <v>0</v>
      </c>
      <c r="O918" s="13">
        <v>42451</v>
      </c>
      <c r="P918" s="13">
        <v>42451</v>
      </c>
    </row>
    <row r="919" spans="1:16" ht="14.25">
      <c r="A919" s="10">
        <v>2016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7</v>
      </c>
      <c r="M919" s="8">
        <v>2023</v>
      </c>
      <c r="N919" s="9">
        <v>0</v>
      </c>
      <c r="O919" s="13">
        <v>42451</v>
      </c>
      <c r="P919" s="13">
        <v>42451</v>
      </c>
    </row>
    <row r="920" spans="1:16" ht="14.25">
      <c r="A920" s="10">
        <v>2016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4</v>
      </c>
      <c r="M920" s="8">
        <v>2020</v>
      </c>
      <c r="N920" s="9">
        <v>0</v>
      </c>
      <c r="O920" s="13">
        <v>42451</v>
      </c>
      <c r="P920" s="13">
        <v>42451</v>
      </c>
    </row>
    <row r="921" spans="1:16" ht="14.25">
      <c r="A921" s="10">
        <v>2016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2</v>
      </c>
      <c r="M921" s="8">
        <v>2018</v>
      </c>
      <c r="N921" s="9">
        <v>2323000</v>
      </c>
      <c r="O921" s="13">
        <v>42451</v>
      </c>
      <c r="P921" s="13">
        <v>42451</v>
      </c>
    </row>
    <row r="922" spans="1:16" ht="14.25">
      <c r="A922" s="10">
        <v>2016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5</v>
      </c>
      <c r="M922" s="8">
        <v>2021</v>
      </c>
      <c r="N922" s="9">
        <v>0</v>
      </c>
      <c r="O922" s="13">
        <v>42451</v>
      </c>
      <c r="P922" s="13">
        <v>42451</v>
      </c>
    </row>
    <row r="923" spans="1:16" ht="14.25">
      <c r="A923" s="10">
        <v>2016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1</v>
      </c>
      <c r="M923" s="8">
        <v>2017</v>
      </c>
      <c r="N923" s="9">
        <v>0</v>
      </c>
      <c r="O923" s="13">
        <v>42451</v>
      </c>
      <c r="P923" s="13">
        <v>42451</v>
      </c>
    </row>
    <row r="924" spans="1:16" ht="14.25">
      <c r="A924" s="10">
        <v>2016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7</v>
      </c>
      <c r="M924" s="8">
        <v>2023</v>
      </c>
      <c r="N924" s="9">
        <v>0</v>
      </c>
      <c r="O924" s="13">
        <v>42451</v>
      </c>
      <c r="P924" s="13">
        <v>42451</v>
      </c>
    </row>
    <row r="925" spans="1:16" ht="14.25">
      <c r="A925" s="10">
        <v>2016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8</v>
      </c>
      <c r="M925" s="8">
        <v>2024</v>
      </c>
      <c r="N925" s="9">
        <v>0</v>
      </c>
      <c r="O925" s="13">
        <v>42451</v>
      </c>
      <c r="P925" s="13">
        <v>42451</v>
      </c>
    </row>
    <row r="926" spans="1:16" ht="14.25">
      <c r="A926" s="10">
        <v>2016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4</v>
      </c>
      <c r="M926" s="8">
        <v>2020</v>
      </c>
      <c r="N926" s="9">
        <v>0</v>
      </c>
      <c r="O926" s="13">
        <v>42451</v>
      </c>
      <c r="P926" s="13">
        <v>42451</v>
      </c>
    </row>
    <row r="927" spans="1:16" ht="14.25">
      <c r="A927" s="10">
        <v>2016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0</v>
      </c>
      <c r="M927" s="8">
        <v>2016</v>
      </c>
      <c r="N927" s="9">
        <v>0</v>
      </c>
      <c r="O927" s="13">
        <v>42451</v>
      </c>
      <c r="P927" s="13">
        <v>42451</v>
      </c>
    </row>
    <row r="928" spans="1:16" ht="14.25">
      <c r="A928" s="10">
        <v>2016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6</v>
      </c>
      <c r="M928" s="8">
        <v>2022</v>
      </c>
      <c r="N928" s="9">
        <v>0</v>
      </c>
      <c r="O928" s="13">
        <v>42451</v>
      </c>
      <c r="P928" s="13">
        <v>42451</v>
      </c>
    </row>
    <row r="929" spans="1:16" ht="14.25">
      <c r="A929" s="10">
        <v>2016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3</v>
      </c>
      <c r="M929" s="8">
        <v>2019</v>
      </c>
      <c r="N929" s="9">
        <v>0</v>
      </c>
      <c r="O929" s="13">
        <v>42451</v>
      </c>
      <c r="P929" s="13">
        <v>42451</v>
      </c>
    </row>
    <row r="930" spans="1:16" ht="14.25">
      <c r="A930" s="10">
        <v>2016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2</v>
      </c>
      <c r="M930" s="8">
        <v>2018</v>
      </c>
      <c r="N930" s="9">
        <v>0</v>
      </c>
      <c r="O930" s="13">
        <v>42451</v>
      </c>
      <c r="P930" s="13">
        <v>42451</v>
      </c>
    </row>
    <row r="931" spans="1:16" ht="14.25">
      <c r="A931" s="10">
        <v>2016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0</v>
      </c>
      <c r="M931" s="8">
        <v>2016</v>
      </c>
      <c r="N931" s="9">
        <v>0</v>
      </c>
      <c r="O931" s="13">
        <v>42451</v>
      </c>
      <c r="P931" s="13">
        <v>42451</v>
      </c>
    </row>
    <row r="932" spans="1:16" ht="14.25">
      <c r="A932" s="10">
        <v>2016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8</v>
      </c>
      <c r="M932" s="8">
        <v>2024</v>
      </c>
      <c r="N932" s="9">
        <v>0</v>
      </c>
      <c r="O932" s="13">
        <v>42451</v>
      </c>
      <c r="P932" s="13">
        <v>42451</v>
      </c>
    </row>
    <row r="933" spans="1:16" ht="14.25">
      <c r="A933" s="10">
        <v>2016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4</v>
      </c>
      <c r="M933" s="8">
        <v>2020</v>
      </c>
      <c r="N933" s="9">
        <v>0</v>
      </c>
      <c r="O933" s="13">
        <v>42451</v>
      </c>
      <c r="P933" s="13">
        <v>42451</v>
      </c>
    </row>
    <row r="934" spans="1:16" ht="14.25">
      <c r="A934" s="10">
        <v>2016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1</v>
      </c>
      <c r="M934" s="8">
        <v>2017</v>
      </c>
      <c r="N934" s="9">
        <v>0</v>
      </c>
      <c r="O934" s="13">
        <v>42451</v>
      </c>
      <c r="P934" s="13">
        <v>42451</v>
      </c>
    </row>
    <row r="935" spans="1:16" ht="14.25">
      <c r="A935" s="10">
        <v>2016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6</v>
      </c>
      <c r="M935" s="8">
        <v>2022</v>
      </c>
      <c r="N935" s="9">
        <v>0</v>
      </c>
      <c r="O935" s="13">
        <v>42451</v>
      </c>
      <c r="P935" s="13">
        <v>42451</v>
      </c>
    </row>
    <row r="936" spans="1:16" ht="14.25">
      <c r="A936" s="10">
        <v>2016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2</v>
      </c>
      <c r="M936" s="8">
        <v>2018</v>
      </c>
      <c r="N936" s="9">
        <v>0</v>
      </c>
      <c r="O936" s="13">
        <v>42451</v>
      </c>
      <c r="P936" s="13">
        <v>42451</v>
      </c>
    </row>
    <row r="937" spans="1:16" ht="14.25">
      <c r="A937" s="10">
        <v>2016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7</v>
      </c>
      <c r="M937" s="8">
        <v>2023</v>
      </c>
      <c r="N937" s="9">
        <v>0</v>
      </c>
      <c r="O937" s="13">
        <v>42451</v>
      </c>
      <c r="P937" s="13">
        <v>42451</v>
      </c>
    </row>
    <row r="938" spans="1:16" ht="14.25">
      <c r="A938" s="10">
        <v>2016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5</v>
      </c>
      <c r="M938" s="8">
        <v>2021</v>
      </c>
      <c r="N938" s="9">
        <v>0</v>
      </c>
      <c r="O938" s="13">
        <v>42451</v>
      </c>
      <c r="P938" s="13">
        <v>42451</v>
      </c>
    </row>
    <row r="939" spans="1:16" ht="14.25">
      <c r="A939" s="10">
        <v>2016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3</v>
      </c>
      <c r="M939" s="8">
        <v>2019</v>
      </c>
      <c r="N939" s="9">
        <v>0</v>
      </c>
      <c r="O939" s="13">
        <v>42451</v>
      </c>
      <c r="P939" s="13">
        <v>42451</v>
      </c>
    </row>
    <row r="940" spans="1:16" ht="14.25">
      <c r="A940" s="10">
        <v>2016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336</v>
      </c>
      <c r="H940" s="12" t="s">
        <v>354</v>
      </c>
      <c r="I940" s="12"/>
      <c r="J940" s="12" t="s">
        <v>355</v>
      </c>
      <c r="K940" s="12" t="b">
        <v>1</v>
      </c>
      <c r="L940" s="12">
        <v>1</v>
      </c>
      <c r="M940" s="8">
        <v>2017</v>
      </c>
      <c r="N940" s="9">
        <v>0</v>
      </c>
      <c r="O940" s="13">
        <v>42451</v>
      </c>
      <c r="P940" s="13">
        <v>42451</v>
      </c>
    </row>
    <row r="941" spans="1:16" ht="14.25">
      <c r="A941" s="10">
        <v>2016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336</v>
      </c>
      <c r="H941" s="12" t="s">
        <v>354</v>
      </c>
      <c r="I941" s="12"/>
      <c r="J941" s="12" t="s">
        <v>355</v>
      </c>
      <c r="K941" s="12" t="b">
        <v>1</v>
      </c>
      <c r="L941" s="12">
        <v>5</v>
      </c>
      <c r="M941" s="8">
        <v>2021</v>
      </c>
      <c r="N941" s="9">
        <v>0</v>
      </c>
      <c r="O941" s="13">
        <v>42451</v>
      </c>
      <c r="P941" s="13">
        <v>42451</v>
      </c>
    </row>
    <row r="942" spans="1:16" ht="14.25">
      <c r="A942" s="10">
        <v>2016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336</v>
      </c>
      <c r="H942" s="12" t="s">
        <v>354</v>
      </c>
      <c r="I942" s="12"/>
      <c r="J942" s="12" t="s">
        <v>355</v>
      </c>
      <c r="K942" s="12" t="b">
        <v>1</v>
      </c>
      <c r="L942" s="12">
        <v>0</v>
      </c>
      <c r="M942" s="8">
        <v>2016</v>
      </c>
      <c r="N942" s="9">
        <v>0</v>
      </c>
      <c r="O942" s="13">
        <v>42451</v>
      </c>
      <c r="P942" s="13">
        <v>42451</v>
      </c>
    </row>
    <row r="943" spans="1:16" ht="14.25">
      <c r="A943" s="10">
        <v>2016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336</v>
      </c>
      <c r="H943" s="12" t="s">
        <v>354</v>
      </c>
      <c r="I943" s="12"/>
      <c r="J943" s="12" t="s">
        <v>355</v>
      </c>
      <c r="K943" s="12" t="b">
        <v>1</v>
      </c>
      <c r="L943" s="12">
        <v>2</v>
      </c>
      <c r="M943" s="8">
        <v>2018</v>
      </c>
      <c r="N943" s="9">
        <v>0</v>
      </c>
      <c r="O943" s="13">
        <v>42451</v>
      </c>
      <c r="P943" s="13">
        <v>42451</v>
      </c>
    </row>
    <row r="944" spans="1:16" ht="14.25">
      <c r="A944" s="10">
        <v>2016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336</v>
      </c>
      <c r="H944" s="12" t="s">
        <v>354</v>
      </c>
      <c r="I944" s="12"/>
      <c r="J944" s="12" t="s">
        <v>355</v>
      </c>
      <c r="K944" s="12" t="b">
        <v>1</v>
      </c>
      <c r="L944" s="12">
        <v>7</v>
      </c>
      <c r="M944" s="8">
        <v>2023</v>
      </c>
      <c r="N944" s="9">
        <v>0</v>
      </c>
      <c r="O944" s="13">
        <v>42451</v>
      </c>
      <c r="P944" s="13">
        <v>42451</v>
      </c>
    </row>
    <row r="945" spans="1:16" ht="14.25">
      <c r="A945" s="10">
        <v>2016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336</v>
      </c>
      <c r="H945" s="12" t="s">
        <v>354</v>
      </c>
      <c r="I945" s="12"/>
      <c r="J945" s="12" t="s">
        <v>355</v>
      </c>
      <c r="K945" s="12" t="b">
        <v>1</v>
      </c>
      <c r="L945" s="12">
        <v>6</v>
      </c>
      <c r="M945" s="8">
        <v>2022</v>
      </c>
      <c r="N945" s="9">
        <v>0</v>
      </c>
      <c r="O945" s="13">
        <v>42451</v>
      </c>
      <c r="P945" s="13">
        <v>42451</v>
      </c>
    </row>
    <row r="946" spans="1:16" ht="14.25">
      <c r="A946" s="10">
        <v>2016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336</v>
      </c>
      <c r="H946" s="12" t="s">
        <v>354</v>
      </c>
      <c r="I946" s="12"/>
      <c r="J946" s="12" t="s">
        <v>355</v>
      </c>
      <c r="K946" s="12" t="b">
        <v>1</v>
      </c>
      <c r="L946" s="12">
        <v>8</v>
      </c>
      <c r="M946" s="8">
        <v>2024</v>
      </c>
      <c r="N946" s="9">
        <v>0</v>
      </c>
      <c r="O946" s="13">
        <v>42451</v>
      </c>
      <c r="P946" s="13">
        <v>42451</v>
      </c>
    </row>
    <row r="947" spans="1:16" ht="14.25">
      <c r="A947" s="10">
        <v>2016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336</v>
      </c>
      <c r="H947" s="12" t="s">
        <v>354</v>
      </c>
      <c r="I947" s="12"/>
      <c r="J947" s="12" t="s">
        <v>355</v>
      </c>
      <c r="K947" s="12" t="b">
        <v>1</v>
      </c>
      <c r="L947" s="12">
        <v>3</v>
      </c>
      <c r="M947" s="8">
        <v>2019</v>
      </c>
      <c r="N947" s="9">
        <v>0</v>
      </c>
      <c r="O947" s="13">
        <v>42451</v>
      </c>
      <c r="P947" s="13">
        <v>42451</v>
      </c>
    </row>
    <row r="948" spans="1:16" ht="14.25">
      <c r="A948" s="10">
        <v>2016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336</v>
      </c>
      <c r="H948" s="12" t="s">
        <v>354</v>
      </c>
      <c r="I948" s="12"/>
      <c r="J948" s="12" t="s">
        <v>355</v>
      </c>
      <c r="K948" s="12" t="b">
        <v>1</v>
      </c>
      <c r="L948" s="12">
        <v>4</v>
      </c>
      <c r="M948" s="8">
        <v>2020</v>
      </c>
      <c r="N948" s="9">
        <v>0</v>
      </c>
      <c r="O948" s="13">
        <v>42451</v>
      </c>
      <c r="P948" s="13">
        <v>42451</v>
      </c>
    </row>
    <row r="949" spans="1:16" ht="14.25">
      <c r="A949" s="10">
        <v>2016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0</v>
      </c>
      <c r="M949" s="8">
        <v>2016</v>
      </c>
      <c r="N949" s="9">
        <v>0</v>
      </c>
      <c r="O949" s="13">
        <v>42451</v>
      </c>
      <c r="P949" s="13">
        <v>42451</v>
      </c>
    </row>
    <row r="950" spans="1:16" ht="14.25">
      <c r="A950" s="10">
        <v>2016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1</v>
      </c>
      <c r="M950" s="8">
        <v>2017</v>
      </c>
      <c r="N950" s="9">
        <v>0</v>
      </c>
      <c r="O950" s="13">
        <v>42451</v>
      </c>
      <c r="P950" s="13">
        <v>42451</v>
      </c>
    </row>
    <row r="951" spans="1:16" ht="14.25">
      <c r="A951" s="10">
        <v>2016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5</v>
      </c>
      <c r="M951" s="8">
        <v>2021</v>
      </c>
      <c r="N951" s="9">
        <v>0</v>
      </c>
      <c r="O951" s="13">
        <v>42451</v>
      </c>
      <c r="P951" s="13">
        <v>42451</v>
      </c>
    </row>
    <row r="952" spans="1:16" ht="14.25">
      <c r="A952" s="10">
        <v>2016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3</v>
      </c>
      <c r="M952" s="8">
        <v>2019</v>
      </c>
      <c r="N952" s="9">
        <v>0</v>
      </c>
      <c r="O952" s="13">
        <v>42451</v>
      </c>
      <c r="P952" s="13">
        <v>42451</v>
      </c>
    </row>
    <row r="953" spans="1:16" ht="14.25">
      <c r="A953" s="10">
        <v>2016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4</v>
      </c>
      <c r="M953" s="8">
        <v>2020</v>
      </c>
      <c r="N953" s="9">
        <v>0</v>
      </c>
      <c r="O953" s="13">
        <v>42451</v>
      </c>
      <c r="P953" s="13">
        <v>42451</v>
      </c>
    </row>
    <row r="954" spans="1:16" ht="14.25">
      <c r="A954" s="10">
        <v>2016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7</v>
      </c>
      <c r="M954" s="8">
        <v>2023</v>
      </c>
      <c r="N954" s="9">
        <v>0</v>
      </c>
      <c r="O954" s="13">
        <v>42451</v>
      </c>
      <c r="P954" s="13">
        <v>42451</v>
      </c>
    </row>
    <row r="955" spans="1:16" ht="14.25">
      <c r="A955" s="10">
        <v>2016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6</v>
      </c>
      <c r="M955" s="8">
        <v>2022</v>
      </c>
      <c r="N955" s="9">
        <v>0</v>
      </c>
      <c r="O955" s="13">
        <v>42451</v>
      </c>
      <c r="P955" s="13">
        <v>42451</v>
      </c>
    </row>
    <row r="956" spans="1:16" ht="14.25">
      <c r="A956" s="10">
        <v>2016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2</v>
      </c>
      <c r="M956" s="8">
        <v>2018</v>
      </c>
      <c r="N956" s="9">
        <v>0</v>
      </c>
      <c r="O956" s="13">
        <v>42451</v>
      </c>
      <c r="P956" s="13">
        <v>42451</v>
      </c>
    </row>
    <row r="957" spans="1:16" ht="14.25">
      <c r="A957" s="10">
        <v>2016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8</v>
      </c>
      <c r="M957" s="8">
        <v>2024</v>
      </c>
      <c r="N957" s="9">
        <v>0</v>
      </c>
      <c r="O957" s="13">
        <v>42451</v>
      </c>
      <c r="P957" s="13">
        <v>42451</v>
      </c>
    </row>
    <row r="958" spans="1:16" ht="14.25">
      <c r="A958" s="10">
        <v>2016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2</v>
      </c>
      <c r="M958" s="8">
        <v>2018</v>
      </c>
      <c r="N958" s="9">
        <v>0</v>
      </c>
      <c r="O958" s="13">
        <v>42451</v>
      </c>
      <c r="P958" s="13">
        <v>42451</v>
      </c>
    </row>
    <row r="959" spans="1:16" ht="14.25">
      <c r="A959" s="10">
        <v>2016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4</v>
      </c>
      <c r="M959" s="8">
        <v>2020</v>
      </c>
      <c r="N959" s="9">
        <v>0</v>
      </c>
      <c r="O959" s="13">
        <v>42451</v>
      </c>
      <c r="P959" s="13">
        <v>42451</v>
      </c>
    </row>
    <row r="960" spans="1:16" ht="14.25">
      <c r="A960" s="10">
        <v>2016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7</v>
      </c>
      <c r="M960" s="8">
        <v>2023</v>
      </c>
      <c r="N960" s="9">
        <v>0</v>
      </c>
      <c r="O960" s="13">
        <v>42451</v>
      </c>
      <c r="P960" s="13">
        <v>42451</v>
      </c>
    </row>
    <row r="961" spans="1:16" ht="14.25">
      <c r="A961" s="10">
        <v>2016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1</v>
      </c>
      <c r="M961" s="8">
        <v>2017</v>
      </c>
      <c r="N961" s="9">
        <v>0</v>
      </c>
      <c r="O961" s="13">
        <v>42451</v>
      </c>
      <c r="P961" s="13">
        <v>42451</v>
      </c>
    </row>
    <row r="962" spans="1:16" ht="14.25">
      <c r="A962" s="10">
        <v>2016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0</v>
      </c>
      <c r="M962" s="8">
        <v>2016</v>
      </c>
      <c r="N962" s="9">
        <v>2235832</v>
      </c>
      <c r="O962" s="13">
        <v>42451</v>
      </c>
      <c r="P962" s="13">
        <v>42451</v>
      </c>
    </row>
    <row r="963" spans="1:16" ht="14.25">
      <c r="A963" s="10">
        <v>2016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5</v>
      </c>
      <c r="M963" s="8">
        <v>2021</v>
      </c>
      <c r="N963" s="9">
        <v>0</v>
      </c>
      <c r="O963" s="13">
        <v>42451</v>
      </c>
      <c r="P963" s="13">
        <v>42451</v>
      </c>
    </row>
    <row r="964" spans="1:16" ht="14.25">
      <c r="A964" s="10">
        <v>2016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6</v>
      </c>
      <c r="M964" s="8">
        <v>2022</v>
      </c>
      <c r="N964" s="9">
        <v>0</v>
      </c>
      <c r="O964" s="13">
        <v>42451</v>
      </c>
      <c r="P964" s="13">
        <v>42451</v>
      </c>
    </row>
    <row r="965" spans="1:16" ht="14.25">
      <c r="A965" s="10">
        <v>2016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3</v>
      </c>
      <c r="M965" s="8">
        <v>2019</v>
      </c>
      <c r="N965" s="9">
        <v>0</v>
      </c>
      <c r="O965" s="13">
        <v>42451</v>
      </c>
      <c r="P965" s="13">
        <v>42451</v>
      </c>
    </row>
    <row r="966" spans="1:16" ht="14.25">
      <c r="A966" s="10">
        <v>2016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8</v>
      </c>
      <c r="M966" s="8">
        <v>2024</v>
      </c>
      <c r="N966" s="9">
        <v>0</v>
      </c>
      <c r="O966" s="13">
        <v>42451</v>
      </c>
      <c r="P966" s="13">
        <v>42451</v>
      </c>
    </row>
    <row r="967" spans="1:16" ht="14.25">
      <c r="A967" s="10">
        <v>2016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7</v>
      </c>
      <c r="M967" s="8">
        <v>2023</v>
      </c>
      <c r="N967" s="9">
        <v>0</v>
      </c>
      <c r="O967" s="13">
        <v>42451</v>
      </c>
      <c r="P967" s="13">
        <v>42451</v>
      </c>
    </row>
    <row r="968" spans="1:16" ht="14.25">
      <c r="A968" s="10">
        <v>2016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5</v>
      </c>
      <c r="M968" s="8">
        <v>2021</v>
      </c>
      <c r="N968" s="9">
        <v>0</v>
      </c>
      <c r="O968" s="13">
        <v>42451</v>
      </c>
      <c r="P968" s="13">
        <v>42451</v>
      </c>
    </row>
    <row r="969" spans="1:16" ht="14.25">
      <c r="A969" s="10">
        <v>2016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1</v>
      </c>
      <c r="M969" s="8">
        <v>2017</v>
      </c>
      <c r="N969" s="9">
        <v>0</v>
      </c>
      <c r="O969" s="13">
        <v>42451</v>
      </c>
      <c r="P969" s="13">
        <v>42451</v>
      </c>
    </row>
    <row r="970" spans="1:16" ht="14.25">
      <c r="A970" s="10">
        <v>2016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2</v>
      </c>
      <c r="M970" s="8">
        <v>2018</v>
      </c>
      <c r="N970" s="9">
        <v>0</v>
      </c>
      <c r="O970" s="13">
        <v>42451</v>
      </c>
      <c r="P970" s="13">
        <v>42451</v>
      </c>
    </row>
    <row r="971" spans="1:16" ht="14.25">
      <c r="A971" s="10">
        <v>2016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0</v>
      </c>
      <c r="M971" s="8">
        <v>2016</v>
      </c>
      <c r="N971" s="9">
        <v>0</v>
      </c>
      <c r="O971" s="13">
        <v>42451</v>
      </c>
      <c r="P971" s="13">
        <v>42451</v>
      </c>
    </row>
    <row r="972" spans="1:16" ht="14.25">
      <c r="A972" s="10">
        <v>2016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4</v>
      </c>
      <c r="M972" s="8">
        <v>2020</v>
      </c>
      <c r="N972" s="9">
        <v>0</v>
      </c>
      <c r="O972" s="13">
        <v>42451</v>
      </c>
      <c r="P972" s="13">
        <v>42451</v>
      </c>
    </row>
    <row r="973" spans="1:16" ht="14.25">
      <c r="A973" s="10">
        <v>2016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3</v>
      </c>
      <c r="M973" s="8">
        <v>2019</v>
      </c>
      <c r="N973" s="9">
        <v>0</v>
      </c>
      <c r="O973" s="13">
        <v>42451</v>
      </c>
      <c r="P973" s="13">
        <v>42451</v>
      </c>
    </row>
    <row r="974" spans="1:16" ht="14.25">
      <c r="A974" s="10">
        <v>2016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6</v>
      </c>
      <c r="M974" s="8">
        <v>2022</v>
      </c>
      <c r="N974" s="9">
        <v>0</v>
      </c>
      <c r="O974" s="13">
        <v>42451</v>
      </c>
      <c r="P974" s="13">
        <v>42451</v>
      </c>
    </row>
    <row r="975" spans="1:16" ht="14.25">
      <c r="A975" s="10">
        <v>2016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8</v>
      </c>
      <c r="M975" s="8">
        <v>2024</v>
      </c>
      <c r="N975" s="9">
        <v>0</v>
      </c>
      <c r="O975" s="13">
        <v>42451</v>
      </c>
      <c r="P975" s="13">
        <v>42451</v>
      </c>
    </row>
    <row r="976" spans="1:16" ht="14.25">
      <c r="A976" s="10">
        <v>2016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351</v>
      </c>
      <c r="K976" s="12" t="b">
        <v>1</v>
      </c>
      <c r="L976" s="12">
        <v>7</v>
      </c>
      <c r="M976" s="8">
        <v>2023</v>
      </c>
      <c r="N976" s="9">
        <v>0</v>
      </c>
      <c r="O976" s="13">
        <v>42451</v>
      </c>
      <c r="P976" s="13">
        <v>42451</v>
      </c>
    </row>
    <row r="977" spans="1:16" ht="14.25">
      <c r="A977" s="10">
        <v>2016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351</v>
      </c>
      <c r="K977" s="12" t="b">
        <v>1</v>
      </c>
      <c r="L977" s="12">
        <v>3</v>
      </c>
      <c r="M977" s="8">
        <v>2019</v>
      </c>
      <c r="N977" s="9">
        <v>0</v>
      </c>
      <c r="O977" s="13">
        <v>42451</v>
      </c>
      <c r="P977" s="13">
        <v>42451</v>
      </c>
    </row>
    <row r="978" spans="1:16" ht="14.25">
      <c r="A978" s="10">
        <v>2016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351</v>
      </c>
      <c r="K978" s="12" t="b">
        <v>1</v>
      </c>
      <c r="L978" s="12">
        <v>6</v>
      </c>
      <c r="M978" s="8">
        <v>2022</v>
      </c>
      <c r="N978" s="9">
        <v>0</v>
      </c>
      <c r="O978" s="13">
        <v>42451</v>
      </c>
      <c r="P978" s="13">
        <v>42451</v>
      </c>
    </row>
    <row r="979" spans="1:16" ht="14.25">
      <c r="A979" s="10">
        <v>2016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351</v>
      </c>
      <c r="K979" s="12" t="b">
        <v>1</v>
      </c>
      <c r="L979" s="12">
        <v>1</v>
      </c>
      <c r="M979" s="8">
        <v>2017</v>
      </c>
      <c r="N979" s="9">
        <v>0</v>
      </c>
      <c r="O979" s="13">
        <v>42451</v>
      </c>
      <c r="P979" s="13">
        <v>42451</v>
      </c>
    </row>
    <row r="980" spans="1:16" ht="14.25">
      <c r="A980" s="10">
        <v>2016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351</v>
      </c>
      <c r="K980" s="12" t="b">
        <v>1</v>
      </c>
      <c r="L980" s="12">
        <v>0</v>
      </c>
      <c r="M980" s="8">
        <v>2016</v>
      </c>
      <c r="N980" s="9">
        <v>0</v>
      </c>
      <c r="O980" s="13">
        <v>42451</v>
      </c>
      <c r="P980" s="13">
        <v>42451</v>
      </c>
    </row>
    <row r="981" spans="1:16" ht="14.25">
      <c r="A981" s="10">
        <v>2016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351</v>
      </c>
      <c r="K981" s="12" t="b">
        <v>1</v>
      </c>
      <c r="L981" s="12">
        <v>8</v>
      </c>
      <c r="M981" s="8">
        <v>2024</v>
      </c>
      <c r="N981" s="9">
        <v>0</v>
      </c>
      <c r="O981" s="13">
        <v>42451</v>
      </c>
      <c r="P981" s="13">
        <v>42451</v>
      </c>
    </row>
    <row r="982" spans="1:16" ht="14.25">
      <c r="A982" s="10">
        <v>2016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351</v>
      </c>
      <c r="K982" s="12" t="b">
        <v>1</v>
      </c>
      <c r="L982" s="12">
        <v>4</v>
      </c>
      <c r="M982" s="8">
        <v>2020</v>
      </c>
      <c r="N982" s="9">
        <v>0</v>
      </c>
      <c r="O982" s="13">
        <v>42451</v>
      </c>
      <c r="P982" s="13">
        <v>42451</v>
      </c>
    </row>
    <row r="983" spans="1:16" ht="14.25">
      <c r="A983" s="10">
        <v>2016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351</v>
      </c>
      <c r="K983" s="12" t="b">
        <v>1</v>
      </c>
      <c r="L983" s="12">
        <v>5</v>
      </c>
      <c r="M983" s="8">
        <v>2021</v>
      </c>
      <c r="N983" s="9">
        <v>0</v>
      </c>
      <c r="O983" s="13">
        <v>42451</v>
      </c>
      <c r="P983" s="13">
        <v>42451</v>
      </c>
    </row>
    <row r="984" spans="1:16" ht="14.25">
      <c r="A984" s="10">
        <v>2016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351</v>
      </c>
      <c r="K984" s="12" t="b">
        <v>1</v>
      </c>
      <c r="L984" s="12">
        <v>2</v>
      </c>
      <c r="M984" s="8">
        <v>2018</v>
      </c>
      <c r="N984" s="9">
        <v>0</v>
      </c>
      <c r="O984" s="13">
        <v>42451</v>
      </c>
      <c r="P984" s="13">
        <v>42451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2016-03-29T07:30:32Z</cp:lastPrinted>
  <dcterms:created xsi:type="dcterms:W3CDTF">2010-09-17T02:30:46Z</dcterms:created>
  <dcterms:modified xsi:type="dcterms:W3CDTF">2016-03-29T07:30:39Z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