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5" yWindow="65521" windowWidth="15480" windowHeight="10290" tabRatio="372" activeTab="2"/>
  </bookViews>
  <sheets>
    <sheet name="Zał.1_WPF_bazowy" sheetId="1" r:id="rId1"/>
    <sheet name="rysunki" sheetId="2" r:id="rId2"/>
    <sheet name="WPF_AnalizaWsk_Projektowanie" sheetId="3" r:id="rId3"/>
    <sheet name="definicja" sheetId="4" state="hidden" r:id="rId4"/>
    <sheet name="DaneZrodlowe" sheetId="5" state="hidden" r:id="rId5"/>
    <sheet name="DaneZrodloweDoWsk" sheetId="6" state="hidden" r:id="rId6"/>
  </sheets>
  <definedNames>
    <definedName name="_xlnm._FilterDatabase" localSheetId="2" hidden="1">'WPF_AnalizaWsk_Projektowanie'!$A$9:$A$104</definedName>
    <definedName name="_xlnm._FilterDatabase" localSheetId="0" hidden="1">'Zał.1_WPF_bazowy'!$A$9:$A$104</definedName>
    <definedName name="_xlnm.Print_Area" localSheetId="2">'WPF_AnalizaWsk_Projektowanie'!$B$8:$AL$104</definedName>
    <definedName name="_xlnm.Print_Area" localSheetId="0">'Zał.1_WPF_bazowy'!$B$8:$T$104</definedName>
    <definedName name="_xlnm.Print_Titles" localSheetId="2">'WPF_AnalizaWsk_Projektowanie'!$B:$D,'WPF_AnalizaWsk_Projektowanie'!$8:$9</definedName>
    <definedName name="_xlnm.Print_Titles" localSheetId="0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<sst xmlns="http://schemas.openxmlformats.org/spreadsheetml/2006/main" count="3984" uniqueCount="509">
  <si>
    <t>Lp.</t>
  </si>
  <si>
    <t>Wyszczególnienie</t>
  </si>
  <si>
    <t>na wynagrodzenia i składki od nich naliczane</t>
  </si>
  <si>
    <t>związane z funkcjonowaniem organów JST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</si>
  <si>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</si>
  <si>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</si>
  <si>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</si>
  <si>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</si>
  <si>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</si>
  <si>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</si>
  <si>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</si>
  <si>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</si>
  <si>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</si>
  <si>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</si>
  <si>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</si>
  <si>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</si>
  <si>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</si>
  <si>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</si>
  <si>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</si>
  <si>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</si>
  <si>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</si>
  <si>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</si>
  <si>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</si>
  <si>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</si>
  <si>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</si>
  <si>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</si>
  <si>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</si>
  <si>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</si>
  <si>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</si>
  <si>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</si>
  <si>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</si>
  <si>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</si>
  <si>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</si>
  <si>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</si>
  <si>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</si>
  <si>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</si>
  <si>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</si>
  <si>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</si>
  <si>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</si>
  <si>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</si>
  <si>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</si>
  <si>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</si>
  <si>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</si>
  <si>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</si>
  <si>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</si>
  <si>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</si>
  <si>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</si>
  <si>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</si>
  <si>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</si>
  <si>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</si>
  <si>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</si>
  <si>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</si>
  <si>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</si>
  <si>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</si>
  <si>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</si>
  <si>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</si>
  <si>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</si>
  <si>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</si>
  <si>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</si>
  <si>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</si>
  <si>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</si>
  <si>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</si>
  <si>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</si>
  <si>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</si>
  <si>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</si>
  <si>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</si>
  <si>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</si>
  <si>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</si>
  <si>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</si>
  <si>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</si>
  <si>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</si>
  <si>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</si>
  <si>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</si>
  <si>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</si>
  <si>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</si>
  <si>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</si>
  <si>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</si>
  <si>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</si>
  <si>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</si>
  <si>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</si>
  <si>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</si>
  <si>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</si>
  <si>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</si>
  <si>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</si>
  <si>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</si>
  <si>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</si>
  <si>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</si>
  <si>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</si>
  <si>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</si>
  <si>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</si>
  <si>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</si>
  <si>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</si>
  <si>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</si>
  <si>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</si>
  <si>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</si>
  <si>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</si>
  <si>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</si>
  <si>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</si>
  <si>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</si>
  <si>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</si>
  <si>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</si>
  <si>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</si>
  <si>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</si>
  <si>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</si>
  <si>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</si>
  <si>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</si>
  <si>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</si>
  <si>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</si>
  <si>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</si>
  <si>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</si>
  <si>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</si>
  <si>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</si>
  <si>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</si>
  <si>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</si>
  <si>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</si>
  <si>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</si>
  <si>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</si>
  <si>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</si>
  <si>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</si>
  <si>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</si>
  <si>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</si>
  <si>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</si>
  <si>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</si>
  <si>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</si>
  <si>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</si>
  <si>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</si>
  <si>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</si>
  <si>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</si>
  <si>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</si>
  <si>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</si>
  <si>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</si>
  <si>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</si>
  <si>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</si>
  <si>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</si>
  <si>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</si>
  <si>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</si>
  <si>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</si>
  <si>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</si>
  <si>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</si>
  <si>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</si>
  <si>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</si>
  <si>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</si>
  <si>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</si>
  <si>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</si>
  <si>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</si>
  <si>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</si>
  <si>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</si>
  <si>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</si>
  <si>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</si>
  <si>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</si>
  <si>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</si>
  <si>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</si>
  <si>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</si>
  <si>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</si>
  <si>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</si>
  <si>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</si>
  <si>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</si>
  <si>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</si>
  <si>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</si>
  <si>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</si>
  <si>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</si>
  <si>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</si>
  <si>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</si>
  <si>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</si>
  <si>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</si>
  <si>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</si>
  <si>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</si>
  <si>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</si>
  <si>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</si>
  <si>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</si>
  <si>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</si>
  <si>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</si>
  <si>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</si>
  <si>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</si>
  <si>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</si>
  <si>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</si>
  <si>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</si>
  <si>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</si>
  <si>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</si>
  <si>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</si>
  <si>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</si>
  <si>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</si>
  <si>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</si>
  <si>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</si>
  <si>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</si>
  <si>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</si>
  <si>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</si>
  <si>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</si>
  <si>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</si>
  <si>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</si>
  <si>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</si>
  <si>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</si>
  <si>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</si>
  <si>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</si>
  <si>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</si>
  <si>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</si>
  <si>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</si>
  <si>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</si>
  <si>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</si>
  <si>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</si>
  <si>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</si>
  <si>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</si>
  <si>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</si>
  <si>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</si>
  <si>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</si>
  <si>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</si>
  <si>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</si>
  <si>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</si>
  <si>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</si>
  <si>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</si>
  <si>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</si>
  <si>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</si>
  <si>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</si>
  <si>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</si>
  <si>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</si>
  <si>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</si>
  <si>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</si>
  <si>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</si>
  <si>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</si>
  <si>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</si>
  <si>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</si>
  <si>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</si>
  <si>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</si>
  <si>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</si>
  <si>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</si>
  <si>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</si>
  <si>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</si>
  <si>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</si>
  <si>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</si>
  <si>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</si>
  <si>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</si>
  <si>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</si>
  <si>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</si>
  <si>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</si>
  <si>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</si>
  <si>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</si>
  <si>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</si>
  <si>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</si>
  <si>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</si>
  <si>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</si>
  <si>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</si>
  <si>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</si>
  <si>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</si>
  <si>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</si>
  <si>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</si>
  <si>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</si>
  <si>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</si>
  <si>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</si>
  <si>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</si>
  <si>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</si>
  <si>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</si>
  <si>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</si>
  <si>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środki określone w art. 5 ust. 1 pkt 2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</si>
  <si>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</si>
  <si>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</si>
  <si>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</si>
  <si>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</si>
  <si>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</si>
  <si>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</si>
  <si>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</si>
  <si>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</si>
  <si>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</si>
  <si>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</si>
  <si>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</si>
  <si>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</si>
  <si>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</si>
  <si>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</si>
  <si>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</si>
  <si>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</si>
  <si>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</si>
  <si>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</si>
  <si>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Wykonanie 2012</t>
  </si>
  <si>
    <t>Wykonanie     2011</t>
  </si>
  <si>
    <t>Wykonanie      2010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</si>
  <si>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</si>
  <si>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</si>
  <si>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</si>
  <si>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>Układ WPF wg Rozporządzenia Ministra Finansów z dnia 10.01.2013 (Dz.U. z 2013 r., poz. 86)</t>
  </si>
  <si>
    <t>UWAGA!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</si>
  <si>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</si>
  <si>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</si>
  <si>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</si>
  <si>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</si>
  <si>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</si>
  <si>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</si>
  <si>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</si>
  <si>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</si>
  <si>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</si>
  <si>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</si>
  <si>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</si>
  <si>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</si>
  <si>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</si>
  <si>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</si>
  <si>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</si>
  <si>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</si>
  <si>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</si>
  <si>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</si>
  <si>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</si>
  <si>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</si>
  <si>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</si>
  <si>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</si>
  <si>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</si>
  <si>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</si>
  <si>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</si>
  <si>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</si>
  <si>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</si>
  <si>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</si>
  <si>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</si>
  <si>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</si>
  <si>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</si>
  <si>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</si>
  <si>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</si>
  <si>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</si>
  <si>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</si>
  <si>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</si>
  <si>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</si>
  <si>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</si>
  <si>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</si>
  <si>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</si>
  <si>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</si>
  <si>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</si>
  <si>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</si>
  <si>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[5.1.1] &gt;= [5.1.1.1]</t>
  </si>
  <si>
    <t>[5.1] &gt;= [10.1]</t>
  </si>
  <si>
    <t>[5.1] &gt;= [14.1]</t>
  </si>
  <si>
    <t>[5.1] &gt;= [5.1.1]</t>
  </si>
  <si>
    <t>[6.1] &gt;= [6.1.1]</t>
  </si>
  <si>
    <t>[6] &gt;= [14.2]</t>
  </si>
  <si>
    <t>[6] &gt;= [6.1]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</si>
  <si>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</si>
  <si>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</si>
  <si>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</si>
  <si>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</si>
  <si>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</si>
  <si>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</si>
  <si>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</si>
  <si>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</si>
  <si>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</si>
  <si>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</si>
  <si>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</si>
  <si>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</si>
  <si>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</si>
  <si>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</si>
  <si>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</si>
  <si>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</si>
  <si>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</si>
  <si>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</si>
  <si>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</si>
  <si>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</si>
  <si>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</si>
  <si>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</si>
  <si>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</si>
  <si>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</si>
  <si>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</si>
  <si>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</si>
  <si>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</si>
  <si>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</si>
  <si>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</si>
  <si>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</si>
  <si>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</si>
  <si>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</si>
  <si>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</si>
  <si>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</si>
  <si>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</si>
  <si>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</si>
  <si>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</si>
  <si>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</si>
  <si>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</si>
  <si>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</si>
  <si>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</si>
  <si>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</si>
  <si>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</si>
  <si>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</si>
  <si>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[5.1.1] &gt;= [5.1.1.1]</t>
  </si>
  <si>
    <t>Reguła logiczna:  [5.1] &gt;= [10.1]</t>
  </si>
  <si>
    <t>Reguła logiczna:  [5.1] &gt;= [14.1]</t>
  </si>
  <si>
    <t>Reguła logiczna:  [5.1] &gt;= [5.1.1]</t>
  </si>
  <si>
    <t>Reguła logiczna:  [6.1] &gt;= [6.1.1]</t>
  </si>
  <si>
    <t>Reguła logiczna:  [6] &gt;= [14.2]</t>
  </si>
  <si>
    <t>Reguła logiczna:  [6] &gt;= [6.1]</t>
  </si>
  <si>
    <t>Reguła logiczna:  [6] &gt;=[7]</t>
  </si>
  <si>
    <t>Reguła logiczna:  7&gt;=13.1</t>
  </si>
  <si>
    <t xml:space="preserve">Reguła logiczna:  jeżeli [2.1.3] &lt;&gt; 0 to  [2.1.3.1] &lt;&gt; 0 </t>
  </si>
  <si>
    <t>Weryfikacja danych wykazanych w tabeli Wieloletnia Prognoza Finansowa</t>
  </si>
  <si>
    <t>Reguła formalna</t>
  </si>
  <si>
    <t>Reguła rachunkowa</t>
  </si>
  <si>
    <t>Spełnienie wskaźnika z art. 170 suofp (bez wyłączeń)</t>
  </si>
  <si>
    <t>Wynik budżetu = dochody ogółem - wydatki ogółem</t>
  </si>
  <si>
    <t>Wyliczenie kwoty długu</t>
  </si>
  <si>
    <t>pozostałe wydatki bieżące (wydatki bieżące bez wynagrodzeń i pochodnych oraz wydatków związanych z funkcjonowaniem organów jst, wydatków na obsługę długu  oraz poręczeń i gwarancji)</t>
  </si>
  <si>
    <t>wydatki ogółem bez wydatków na projekty finansowane i współfinansowane środkami UE</t>
  </si>
  <si>
    <t>dochody ogółem bez środków UE (fin. i współfin.)</t>
  </si>
  <si>
    <t>dochody bieżące bez środków UE (fin. i współfin.)</t>
  </si>
  <si>
    <t>dochody majątkowe bez środków UE (fin. i współfin.)</t>
  </si>
  <si>
    <t>dochody majątkowe bez środków UE (fin. i współfin.) 
i bez sprzedaży majątku</t>
  </si>
  <si>
    <t>wydatki bieżące bez wydatków na obsługę długu</t>
  </si>
  <si>
    <t>gwarancje i poręczenia podlegające wyłączeniu z limitów spłaty zobowiązań  określonych w art. 243 ust. 3 pkt 2 uofp, lub art. 169 ust. 3 pkt 2 suofp</t>
  </si>
  <si>
    <t>na programy, projekty lub zadania finansowane z udziałem środków, o których mowa w art. 5 ust. 1 pkt 2 i 3 uofp</t>
  </si>
  <si>
    <t>wydatki bieżące na obsługę długu, w tym:</t>
  </si>
  <si>
    <t xml:space="preserve">odsetki i dyskonto </t>
  </si>
  <si>
    <t>Wydatki majątkowe, w tym:</t>
  </si>
  <si>
    <t>Informacje uzupełniające z art. 226 ust. 1 i 2 uofp, tj. wydatki:</t>
  </si>
  <si>
    <t>bieżące objęte limitem art. 226 ust. 4 uofp</t>
  </si>
  <si>
    <t>majątkowe objęte limitem art. 226 ust. 4 uofp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</si>
  <si>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</si>
  <si>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</si>
  <si>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</si>
  <si>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</si>
  <si>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[1]-[2]</t>
  </si>
  <si>
    <t>[4.1]+[4.2]+[4.3]+[4.4]</t>
  </si>
  <si>
    <t>[6]/[1]</t>
  </si>
  <si>
    <t>([6]-[6.1])/[1]</t>
  </si>
  <si>
    <t>[1.1]-[2.1]</t>
  </si>
  <si>
    <t>([2.1.1]+[2.1.3.1]+[5.1])/[1]</t>
  </si>
  <si>
    <t>([2.1.1]+[2.1.3.1]+[5.1]-[5.1.1])/[1]</t>
  </si>
  <si>
    <t>([2.1.1]+[2.1.3.1]+[5.1]+[9.5]-[5.1.1])/[1]</t>
  </si>
  <si>
    <t>[1.1]+[1.2.1]-[2.1]/[1]</t>
  </si>
  <si>
    <t>średnia z trzech poprzednich lat [9.6.1]</t>
  </si>
  <si>
    <t>[9.6]-[9.7]</t>
  </si>
  <si>
    <t>[9.6]-[9.7.1]</t>
  </si>
  <si>
    <t>[11.3.1]+[11.3.2]</t>
  </si>
  <si>
    <t>[5.1]+[5.2]</t>
  </si>
  <si>
    <t>Pola z tłem tego koloru można edytowac wprowadzając nowe wartości (projektowanie WPF i obliczanie wskaźników)</t>
  </si>
  <si>
    <t>Do symulacji prognozy i obserwacji zmian wskaźników z art. 243, 169 i 170 na podstawie danych wprowadzanych ręcznie służy arkusz "WPF_AnalizaWsk_Projektowanie"</t>
  </si>
  <si>
    <t>Tabela WPF jest ZABLOKOWANA do edycji. Do szacowania i analizy służy arkusz "WPF_AnalizaWsk_Projektowanie"</t>
  </si>
  <si>
    <t>Zestawienie wygenerowane na podstawie danych wprowadzonych do systemu BESTI@</t>
  </si>
  <si>
    <t>Niniejsze zestawienie można samodzielnie formatować i modyfikować wartości</t>
  </si>
  <si>
    <t>-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</si>
  <si>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</si>
  <si>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</si>
  <si>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</si>
  <si>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</si>
  <si>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</si>
  <si>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 xml:space="preserve">kwota wyłączeń z ograniczeń długu określonych w art. 170 ust. 3 ufp z 2005 r. </t>
  </si>
  <si>
    <t>2010</t>
  </si>
  <si>
    <t>2011</t>
  </si>
  <si>
    <t>2012</t>
  </si>
  <si>
    <t>Plan 3 kw.</t>
  </si>
  <si>
    <t xml:space="preserve">Wykonanie </t>
  </si>
  <si>
    <t>DYNAMIKA podstawowych wielkości z prognozy</t>
  </si>
  <si>
    <t>WIELKOŚĆ ZMIAN w podstawowych kwotach prognozy</t>
  </si>
  <si>
    <t xml:space="preserve">DYNAMIKA kwot ujętych w WPF </t>
  </si>
  <si>
    <t>PODSTAWOWE wielkości ujęte w prognozie</t>
  </si>
  <si>
    <t>Kontrola poprawności podstawowych kwot</t>
  </si>
  <si>
    <t>Reguły kontrolne</t>
  </si>
  <si>
    <t>Wskaźnik jednoroczny (prawa strona wzoru z art. 243)</t>
  </si>
  <si>
    <t>[1.1]+[4.1]+[4.2]-([2.1]-[2.1.2])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</si>
  <si>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</si>
  <si>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</si>
  <si>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</si>
  <si>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Plan                         3 kw. 2012</t>
  </si>
  <si>
    <t>gwarancje i poręczenia podlegające wyłączeniu z limitów spłaty zobowiązań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</si>
  <si>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na spłatę przejętych zobowiązań samodzielnego publicznego zakładu opieki zdrowotnej przekształconego na zasadach określonych w przepisach o działalności leczniczej, w wysokości w jakiej nie podlegają sfinansowaniu dotacją z budżetu państwa)</t>
  </si>
  <si>
    <t>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związanych z realizacją ustawy budżetowej (Dz.U. poz. 1456), w tym:</t>
  </si>
  <si>
    <t xml:space="preserve">Łączna kwota wyłączeń z ograniczeń długu określonych w art. 170 ust. 3 ufp z 2005 r. oraz w art. 36 ustawy o zmianie niektórych ustaw związanych z realizacją ustawy budżetowej, w tym: </t>
  </si>
  <si>
    <t>Wskaźnik zadłużenia do dochodów ogółem określony w art. 170 ufp z 2005 r., bez uwzględniania wyłączeń określonych w pkt 6.1.</t>
  </si>
  <si>
    <t xml:space="preserve">Wskaźnik zadłużenia do dochodów ogółem, o którym mowa w art. 170 ufp z 2005 r., po uwzględnieniu wyłączeń określonych w pkt 6.1. </t>
  </si>
  <si>
    <t>Różnica między dochodami bieżącymi, powiększonymi o nadwyżkę budżetową określoną w pkt 4.1. i wolne środki określone w pkt 4.2. a wydatkami bieżącymi, pomniejszonym o wydatki określone w pkt 2.1.2.</t>
  </si>
  <si>
    <t xml:space="preserve">Wskaźnik planowanej łącznej kwoty spłaty zobowiązań, o której mowa w art. 169 ust. 1 ufp z 2005 r. do dochodów ogółem, bez uwzględnienia wyłączeń określonych w pkt 5.1.1. 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</si>
  <si>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</si>
  <si>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wykonanie roku poprzedzającego rok budżetowy</t>
  </si>
  <si>
    <t>Dochody bieżące na programy, projekty lub zadania finansowane z udziałem środków, o których mowa w art. 5 ust. 1 pkt 2 i 3 ustawy, w tym:</t>
  </si>
  <si>
    <t>Dochody majątkowe na programy, projekty lub zadania finansowane z udziałem środków, o których mowa w art. 5 ust. 1 pkt 2 i 3 ustawy, w tym:</t>
  </si>
  <si>
    <t>Dochody budżetowe z tytułu dotacji celowej z budżetu państwa, o której mowa w art. 196 ustawy z dnia 15 kwietnia 2011 r. o działalności leczniczej (Dz.U. Nr 112, poz. 654, z późn. zm.)</t>
  </si>
  <si>
    <t>Wydatki na spłatę przejętych zobowiązań samodzielnego publicznego zakładu opieki zdrowotnej przekształconego na zasadach określonych w przepisach o działalności leczniczej</t>
  </si>
  <si>
    <t>Wydatki na spłatę przejętych zobowiązań samodzielnego publicznego zakładu opieki zdrowotnej likwidowanego na zasadach określonych w przepisach o działalności leczniczej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</si>
  <si>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</si>
  <si>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</si>
  <si>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</si>
  <si>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</si>
  <si>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</si>
  <si>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t>[N-3]</t>
  </si>
  <si>
    <t>[N-2]</t>
  </si>
  <si>
    <t>[N-1]wyk</t>
  </si>
  <si>
    <t>[N-1]pl3kw : [N-2]</t>
  </si>
  <si>
    <t>[N-1]pl3kw</t>
  </si>
  <si>
    <t>[N-1]wyk / [N-2]</t>
  </si>
  <si>
    <t>[N-1]wyk 
- [N-1]pl3kw</t>
  </si>
  <si>
    <t>[N-1]pl3kw 
- [N-2]</t>
  </si>
  <si>
    <t>[N-1]wyk 
/ [N-1]pl3kw</t>
  </si>
  <si>
    <t>[N-1]pl3kw / [N-2]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</si>
  <si>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</si>
  <si>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Zarządzenie Nr 120/2013</t>
  </si>
  <si>
    <t>KLESZCZEWO</t>
  </si>
  <si>
    <t>([2.1.1] + [2.1.3.1] + [5.1] - [5.1.1] ) / [1]</t>
  </si>
  <si>
    <t>[1.1] + [1.2]</t>
  </si>
  <si>
    <t>([2.1.1] + [2.1.3.1] + [5.1] ) / [1]</t>
  </si>
  <si>
    <t>[1.1] - [2.1]</t>
  </si>
  <si>
    <t>[1] -[2]</t>
  </si>
  <si>
    <t>([6] - [6.1]) / [1]</t>
  </si>
  <si>
    <t>[1.1] + [4.1] + [4.2] - (  [2.1] - [2.1.2]  )</t>
  </si>
  <si>
    <t>[11.3.1] + [11.3.2]</t>
  </si>
  <si>
    <t>[2.1] + [2.2]</t>
  </si>
  <si>
    <t xml:space="preserve">   Dopuszczalny wskaźnik spłaty zobowiązań określony w art. 243 ustawy, po uwzględnieniu wyłączeń określonych w art.  36 ustawy z dnia 7 grudnia 2012 r. o zmianie niektórych ustaw w związku z realizacją ustawy budżetowej, obliczony w oparciu o wykonanie roku poprzedzającego rok budżetowy</t>
  </si>
  <si>
    <t>[9.6] - [9.7]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</si>
  <si>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</si>
  <si>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[5.1] + [5.2]</t>
  </si>
  <si>
    <t>( [1.1] -  ( [2.1]  - [2.1.2] ) + [1.2.1] ) / [1]</t>
  </si>
  <si>
    <t>([2.1.1]+[2.1.3.1] + [5.1]+[9.5]-[5.1.1] )/[1]</t>
  </si>
  <si>
    <t xml:space="preserve"> Dopuszczalny wskaźnik spłaty zobowiązań określony w art. 243 ustawy, po uwzględnieniu wyłączeń określonych w art. 36 ustawy z dnia 7 grudnia 2012 r. o zmianie niektórych ustaw w związku z realizacją ustawy budżetowej, obliczony w oparciu o plan 3 kwartałów roku poprzedzającego rok budżetowy</t>
  </si>
  <si>
    <t>[6] / [1]</t>
  </si>
  <si>
    <t>[4.1] + [4.2] + [4.3] + [4.4]</t>
  </si>
  <si>
    <t>[9.6] - [9.7.1]</t>
  </si>
  <si>
    <t xml:space="preserve">  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w związku z realizacją ustawy budżetowej (Dz.U. poz. 1456)</t>
  </si>
  <si>
    <t xml:space="preserve"> Łączna kwota wyłączeń z ograniczeń długu określonych w art. 170 ust. 3 ufp z 2005 r. oraz w art. 36 ustawy o zmianie niektórych ustaw w związku z realizacją ustawy budżetowej</t>
  </si>
  <si>
    <t>Zarządzenie Nr 20/2013</t>
  </si>
  <si>
    <t>Załącznik Nr 1                                      do Zarządzenia Nr 20/2013  Wójta Gminy Kleszczewo          z dnia 28 czerwca 2013r.</t>
  </si>
  <si>
    <t xml:space="preserve"> Wieloletnia Prognoza Finansowa</t>
  </si>
  <si>
    <t>Zarządzenie 20/2013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</si>
</sst>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name val="Czcionka tekstu podstawowego"/>
      <family val="0"/>
    </font>
    <font>
      <b/>
      <sz val="8"/>
      <color indexed="8"/>
      <name val="Czcionka tekstu podstawowego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b/>
      <i/>
      <sz val="12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8"/>
      <name val="Tahoma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b/>
      <i/>
      <sz val="12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7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7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7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7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7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7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7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7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7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7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7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2" borderId="0" applyNumberFormat="0" applyBorder="0" applyAlignment="0" applyProtection="0"/>
    <xf numFmtId="0" fontId="71" fillId="24" borderId="0" applyNumberFormat="0" applyBorder="0" applyAlignment="0" applyProtection="0"/>
    <xf numFmtId="0" fontId="11" fillId="25" borderId="0" applyNumberFormat="0" applyBorder="0" applyAlignment="0" applyProtection="0"/>
    <xf numFmtId="0" fontId="72" fillId="24" borderId="0" applyNumberFormat="0" applyBorder="0" applyAlignment="0" applyProtection="0"/>
    <xf numFmtId="0" fontId="71" fillId="26" borderId="0" applyNumberFormat="0" applyBorder="0" applyAlignment="0" applyProtection="0"/>
    <xf numFmtId="0" fontId="11" fillId="17" borderId="0" applyNumberFormat="0" applyBorder="0" applyAlignment="0" applyProtection="0"/>
    <xf numFmtId="0" fontId="72" fillId="26" borderId="0" applyNumberFormat="0" applyBorder="0" applyAlignment="0" applyProtection="0"/>
    <xf numFmtId="0" fontId="71" fillId="27" borderId="0" applyNumberFormat="0" applyBorder="0" applyAlignment="0" applyProtection="0"/>
    <xf numFmtId="0" fontId="11" fillId="19" borderId="0" applyNumberFormat="0" applyBorder="0" applyAlignment="0" applyProtection="0"/>
    <xf numFmtId="0" fontId="72" fillId="27" borderId="0" applyNumberFormat="0" applyBorder="0" applyAlignment="0" applyProtection="0"/>
    <xf numFmtId="0" fontId="71" fillId="28" borderId="0" applyNumberFormat="0" applyBorder="0" applyAlignment="0" applyProtection="0"/>
    <xf numFmtId="0" fontId="11" fillId="29" borderId="0" applyNumberFormat="0" applyBorder="0" applyAlignment="0" applyProtection="0"/>
    <xf numFmtId="0" fontId="72" fillId="28" borderId="0" applyNumberFormat="0" applyBorder="0" applyAlignment="0" applyProtection="0"/>
    <xf numFmtId="0" fontId="71" fillId="30" borderId="0" applyNumberFormat="0" applyBorder="0" applyAlignment="0" applyProtection="0"/>
    <xf numFmtId="0" fontId="11" fillId="31" borderId="0" applyNumberFormat="0" applyBorder="0" applyAlignment="0" applyProtection="0"/>
    <xf numFmtId="0" fontId="72" fillId="30" borderId="0" applyNumberFormat="0" applyBorder="0" applyAlignment="0" applyProtection="0"/>
    <xf numFmtId="0" fontId="71" fillId="32" borderId="0" applyNumberFormat="0" applyBorder="0" applyAlignment="0" applyProtection="0"/>
    <xf numFmtId="0" fontId="11" fillId="33" borderId="0" applyNumberFormat="0" applyBorder="0" applyAlignment="0" applyProtection="0"/>
    <xf numFmtId="0" fontId="72" fillId="32" borderId="0" applyNumberFormat="0" applyBorder="0" applyAlignment="0" applyProtection="0"/>
    <xf numFmtId="0" fontId="71" fillId="34" borderId="0" applyNumberFormat="0" applyBorder="0" applyAlignment="0" applyProtection="0"/>
    <xf numFmtId="0" fontId="11" fillId="35" borderId="0" applyNumberFormat="0" applyBorder="0" applyAlignment="0" applyProtection="0"/>
    <xf numFmtId="0" fontId="72" fillId="34" borderId="0" applyNumberFormat="0" applyBorder="0" applyAlignment="0" applyProtection="0"/>
    <xf numFmtId="0" fontId="71" fillId="36" borderId="0" applyNumberFormat="0" applyBorder="0" applyAlignment="0" applyProtection="0"/>
    <xf numFmtId="0" fontId="11" fillId="37" borderId="0" applyNumberFormat="0" applyBorder="0" applyAlignment="0" applyProtection="0"/>
    <xf numFmtId="0" fontId="72" fillId="36" borderId="0" applyNumberFormat="0" applyBorder="0" applyAlignment="0" applyProtection="0"/>
    <xf numFmtId="0" fontId="71" fillId="38" borderId="0" applyNumberFormat="0" applyBorder="0" applyAlignment="0" applyProtection="0"/>
    <xf numFmtId="0" fontId="11" fillId="39" borderId="0" applyNumberFormat="0" applyBorder="0" applyAlignment="0" applyProtection="0"/>
    <xf numFmtId="0" fontId="72" fillId="38" borderId="0" applyNumberFormat="0" applyBorder="0" applyAlignment="0" applyProtection="0"/>
    <xf numFmtId="0" fontId="71" fillId="40" borderId="0" applyNumberFormat="0" applyBorder="0" applyAlignment="0" applyProtection="0"/>
    <xf numFmtId="0" fontId="11" fillId="29" borderId="0" applyNumberFormat="0" applyBorder="0" applyAlignment="0" applyProtection="0"/>
    <xf numFmtId="0" fontId="72" fillId="40" borderId="0" applyNumberFormat="0" applyBorder="0" applyAlignment="0" applyProtection="0"/>
    <xf numFmtId="0" fontId="71" fillId="41" borderId="0" applyNumberFormat="0" applyBorder="0" applyAlignment="0" applyProtection="0"/>
    <xf numFmtId="0" fontId="11" fillId="31" borderId="0" applyNumberFormat="0" applyBorder="0" applyAlignment="0" applyProtection="0"/>
    <xf numFmtId="0" fontId="72" fillId="41" borderId="0" applyNumberFormat="0" applyBorder="0" applyAlignment="0" applyProtection="0"/>
    <xf numFmtId="0" fontId="71" fillId="42" borderId="0" applyNumberFormat="0" applyBorder="0" applyAlignment="0" applyProtection="0"/>
    <xf numFmtId="0" fontId="11" fillId="43" borderId="0" applyNumberFormat="0" applyBorder="0" applyAlignment="0" applyProtection="0"/>
    <xf numFmtId="0" fontId="72" fillId="42" borderId="0" applyNumberFormat="0" applyBorder="0" applyAlignment="0" applyProtection="0"/>
    <xf numFmtId="0" fontId="73" fillId="44" borderId="1" applyNumberFormat="0" applyAlignment="0" applyProtection="0"/>
    <xf numFmtId="0" fontId="12" fillId="13" borderId="2" applyNumberFormat="0" applyAlignment="0" applyProtection="0"/>
    <xf numFmtId="0" fontId="74" fillId="44" borderId="1" applyNumberFormat="0" applyAlignment="0" applyProtection="0"/>
    <xf numFmtId="0" fontId="75" fillId="45" borderId="3" applyNumberFormat="0" applyAlignment="0" applyProtection="0"/>
    <xf numFmtId="0" fontId="13" fillId="46" borderId="4" applyNumberFormat="0" applyAlignment="0" applyProtection="0"/>
    <xf numFmtId="0" fontId="76" fillId="45" borderId="3" applyNumberFormat="0" applyAlignment="0" applyProtection="0"/>
    <xf numFmtId="0" fontId="77" fillId="47" borderId="0" applyNumberFormat="0" applyBorder="0" applyAlignment="0" applyProtection="0"/>
    <xf numFmtId="0" fontId="14" fillId="7" borderId="0" applyNumberFormat="0" applyBorder="0" applyAlignment="0" applyProtection="0"/>
    <xf numFmtId="0" fontId="78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15" fillId="0" borderId="6" applyNumberFormat="0" applyFill="0" applyAlignment="0" applyProtection="0"/>
    <xf numFmtId="0" fontId="80" fillId="0" borderId="5" applyNumberFormat="0" applyFill="0" applyAlignment="0" applyProtection="0"/>
    <xf numFmtId="0" fontId="81" fillId="48" borderId="7" applyNumberFormat="0" applyAlignment="0" applyProtection="0"/>
    <xf numFmtId="0" fontId="16" fillId="49" borderId="8" applyNumberFormat="0" applyAlignment="0" applyProtection="0"/>
    <xf numFmtId="0" fontId="82" fillId="48" borderId="7" applyNumberFormat="0" applyAlignment="0" applyProtection="0"/>
    <xf numFmtId="0" fontId="83" fillId="0" borderId="9" applyNumberFormat="0" applyFill="0" applyAlignment="0" applyProtection="0"/>
    <xf numFmtId="0" fontId="17" fillId="0" borderId="10" applyNumberFormat="0" applyFill="0" applyAlignment="0" applyProtection="0"/>
    <xf numFmtId="0" fontId="84" fillId="0" borderId="9" applyNumberFormat="0" applyFill="0" applyAlignment="0" applyProtection="0"/>
    <xf numFmtId="0" fontId="85" fillId="0" borderId="11" applyNumberFormat="0" applyFill="0" applyAlignment="0" applyProtection="0"/>
    <xf numFmtId="0" fontId="18" fillId="0" borderId="12" applyNumberFormat="0" applyFill="0" applyAlignment="0" applyProtection="0"/>
    <xf numFmtId="0" fontId="86" fillId="0" borderId="11" applyNumberFormat="0" applyFill="0" applyAlignment="0" applyProtection="0"/>
    <xf numFmtId="0" fontId="87" fillId="0" borderId="13" applyNumberFormat="0" applyFill="0" applyAlignment="0" applyProtection="0"/>
    <xf numFmtId="0" fontId="19" fillId="0" borderId="14" applyNumberFormat="0" applyFill="0" applyAlignment="0" applyProtection="0"/>
    <xf numFmtId="0" fontId="88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50" borderId="0" applyNumberFormat="0" applyBorder="0" applyAlignment="0" applyProtection="0"/>
    <xf numFmtId="0" fontId="20" fillId="51" borderId="0" applyNumberFormat="0" applyBorder="0" applyAlignment="0" applyProtection="0"/>
    <xf numFmtId="0" fontId="90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0" fillId="0" borderId="0">
      <alignment/>
      <protection/>
    </xf>
    <xf numFmtId="0" fontId="91" fillId="45" borderId="1" applyNumberFormat="0" applyAlignment="0" applyProtection="0"/>
    <xf numFmtId="0" fontId="21" fillId="46" borderId="2" applyNumberFormat="0" applyAlignment="0" applyProtection="0"/>
    <xf numFmtId="0" fontId="92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3" fillId="0" borderId="15" applyNumberFormat="0" applyFill="0" applyAlignment="0" applyProtection="0"/>
    <xf numFmtId="0" fontId="10" fillId="0" borderId="16" applyNumberFormat="0" applyFill="0" applyAlignment="0" applyProtection="0"/>
    <xf numFmtId="0" fontId="94" fillId="0" borderId="15" applyNumberFormat="0" applyFill="0" applyAlignment="0" applyProtection="0"/>
    <xf numFmtId="0" fontId="9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70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0" fillId="54" borderId="0" applyNumberFormat="0" applyBorder="0" applyAlignment="0" applyProtection="0"/>
    <xf numFmtId="0" fontId="25" fillId="5" borderId="0" applyNumberFormat="0" applyBorder="0" applyAlignment="0" applyProtection="0"/>
    <xf numFmtId="0" fontId="101" fillId="54" borderId="0" applyNumberFormat="0" applyBorder="0" applyAlignment="0" applyProtection="0"/>
  </cellStyleXfs>
  <cellXfs count="42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3" fillId="0" borderId="0" xfId="0" applyFont="1" applyAlignment="1">
      <alignment/>
    </xf>
    <xf numFmtId="0" fontId="102" fillId="0" borderId="19" xfId="0" applyNumberFormat="1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3" fillId="0" borderId="0" xfId="0" applyFont="1" applyAlignment="1">
      <alignment horizontal="right"/>
    </xf>
    <xf numFmtId="0" fontId="3" fillId="0" borderId="20" xfId="131" applyFont="1" applyFill="1" applyBorder="1" applyAlignment="1">
      <alignment vertical="center" wrapText="1"/>
      <protection/>
    </xf>
    <xf numFmtId="0" fontId="2" fillId="0" borderId="21" xfId="131" applyFont="1" applyFill="1" applyBorder="1" applyAlignment="1">
      <alignment horizontal="left" vertical="center" wrapText="1" indent="1"/>
      <protection/>
    </xf>
    <xf numFmtId="0" fontId="2" fillId="0" borderId="21" xfId="131" applyFont="1" applyFill="1" applyBorder="1" applyAlignment="1">
      <alignment horizontal="left" vertical="center" wrapText="1" indent="2"/>
      <protection/>
    </xf>
    <xf numFmtId="0" fontId="2" fillId="0" borderId="21" xfId="131" applyNumberFormat="1" applyFont="1" applyFill="1" applyBorder="1" applyAlignment="1">
      <alignment horizontal="left" vertical="center" wrapText="1" indent="2"/>
      <protection/>
    </xf>
    <xf numFmtId="0" fontId="2" fillId="0" borderId="21" xfId="131" applyFont="1" applyFill="1" applyBorder="1" applyAlignment="1">
      <alignment horizontal="left" vertical="center" wrapText="1" indent="3"/>
      <protection/>
    </xf>
    <xf numFmtId="0" fontId="2" fillId="0" borderId="22" xfId="131" applyFont="1" applyFill="1" applyBorder="1" applyAlignment="1">
      <alignment horizontal="left" vertical="center" wrapText="1" indent="1"/>
      <protection/>
    </xf>
    <xf numFmtId="0" fontId="2" fillId="0" borderId="22" xfId="131" applyFont="1" applyFill="1" applyBorder="1" applyAlignment="1">
      <alignment horizontal="left" vertical="center" wrapText="1" indent="2"/>
      <protection/>
    </xf>
    <xf numFmtId="1" fontId="104" fillId="0" borderId="0" xfId="0" applyNumberFormat="1" applyFont="1" applyAlignment="1">
      <alignment horizontal="center" vertical="center"/>
    </xf>
    <xf numFmtId="166" fontId="104" fillId="0" borderId="0" xfId="0" applyNumberFormat="1" applyFont="1" applyAlignment="1">
      <alignment vertical="center"/>
    </xf>
    <xf numFmtId="2" fontId="104" fillId="0" borderId="0" xfId="0" applyNumberFormat="1" applyFont="1" applyAlignment="1">
      <alignment vertical="center"/>
    </xf>
    <xf numFmtId="49" fontId="104" fillId="0" borderId="0" xfId="0" applyNumberFormat="1" applyFont="1" applyAlignment="1">
      <alignment vertical="center"/>
    </xf>
    <xf numFmtId="0" fontId="104" fillId="0" borderId="0" xfId="0" applyFont="1" applyAlignment="1">
      <alignment vertical="center"/>
    </xf>
    <xf numFmtId="14" fontId="10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5" fillId="0" borderId="0" xfId="0" applyFont="1" applyBorder="1" applyAlignment="1">
      <alignment vertical="center" wrapText="1"/>
    </xf>
    <xf numFmtId="0" fontId="7" fillId="0" borderId="0" xfId="0" applyFont="1" applyAlignment="1">
      <alignment horizontal="left" indent="1"/>
    </xf>
    <xf numFmtId="166" fontId="7" fillId="0" borderId="0" xfId="0" applyNumberFormat="1" applyFont="1" applyAlignment="1">
      <alignment/>
    </xf>
    <xf numFmtId="169" fontId="7" fillId="55" borderId="0" xfId="140" applyNumberFormat="1" applyFont="1" applyFill="1" applyAlignment="1">
      <alignment vertical="center"/>
    </xf>
    <xf numFmtId="169" fontId="7" fillId="56" borderId="0" xfId="140" applyNumberFormat="1" applyFont="1" applyFill="1" applyAlignment="1">
      <alignment vertical="center"/>
    </xf>
    <xf numFmtId="169" fontId="7" fillId="57" borderId="0" xfId="140" applyNumberFormat="1" applyFont="1" applyFill="1" applyAlignment="1">
      <alignment vertical="center"/>
    </xf>
    <xf numFmtId="169" fontId="8" fillId="57" borderId="0" xfId="138" applyNumberFormat="1" applyFont="1" applyFill="1" applyAlignment="1">
      <alignment vertical="center"/>
    </xf>
    <xf numFmtId="169" fontId="8" fillId="56" borderId="0" xfId="138" applyNumberFormat="1" applyFont="1" applyFill="1" applyAlignment="1">
      <alignment vertical="center"/>
    </xf>
    <xf numFmtId="169" fontId="8" fillId="55" borderId="0" xfId="138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2" fillId="0" borderId="20" xfId="131" applyFont="1" applyFill="1" applyBorder="1" applyAlignment="1">
      <alignment horizontal="left" vertical="center" wrapText="1" indent="1"/>
      <protection/>
    </xf>
    <xf numFmtId="0" fontId="3" fillId="0" borderId="23" xfId="131" applyFont="1" applyFill="1" applyBorder="1" applyAlignment="1">
      <alignment vertical="center" wrapText="1"/>
      <protection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>
      <alignment/>
    </xf>
    <xf numFmtId="0" fontId="3" fillId="0" borderId="0" xfId="131" applyFont="1" applyFill="1" applyBorder="1" applyAlignment="1">
      <alignment vertical="center" wrapText="1"/>
      <protection/>
    </xf>
    <xf numFmtId="49" fontId="27" fillId="58" borderId="24" xfId="131" applyNumberFormat="1" applyFont="1" applyFill="1" applyBorder="1" applyAlignment="1">
      <alignment horizontal="center" vertical="center"/>
      <protection/>
    </xf>
    <xf numFmtId="1" fontId="27" fillId="58" borderId="25" xfId="131" applyNumberFormat="1" applyFont="1" applyFill="1" applyBorder="1" applyAlignment="1">
      <alignment horizontal="center" vertical="center"/>
      <protection/>
    </xf>
    <xf numFmtId="0" fontId="93" fillId="0" borderId="0" xfId="0" applyFont="1" applyAlignment="1">
      <alignment/>
    </xf>
    <xf numFmtId="1" fontId="27" fillId="58" borderId="26" xfId="131" applyNumberFormat="1" applyFont="1" applyFill="1" applyBorder="1" applyAlignment="1">
      <alignment horizontal="center" vertical="center"/>
      <protection/>
    </xf>
    <xf numFmtId="49" fontId="27" fillId="58" borderId="25" xfId="131" applyNumberFormat="1" applyFont="1" applyFill="1" applyBorder="1" applyAlignment="1">
      <alignment horizontal="center" vertical="center" wrapText="1"/>
      <protection/>
    </xf>
    <xf numFmtId="49" fontId="27" fillId="58" borderId="27" xfId="131" applyNumberFormat="1" applyFont="1" applyFill="1" applyBorder="1" applyAlignment="1">
      <alignment horizontal="center" vertical="center" wrapText="1"/>
      <protection/>
    </xf>
    <xf numFmtId="0" fontId="106" fillId="0" borderId="28" xfId="0" applyFont="1" applyBorder="1" applyAlignment="1">
      <alignment horizontal="left" vertical="center"/>
    </xf>
    <xf numFmtId="0" fontId="107" fillId="0" borderId="28" xfId="0" applyFont="1" applyBorder="1" applyAlignment="1">
      <alignment horizontal="left" vertical="center"/>
    </xf>
    <xf numFmtId="0" fontId="107" fillId="0" borderId="29" xfId="0" applyFont="1" applyBorder="1" applyAlignment="1">
      <alignment horizontal="left" vertical="center"/>
    </xf>
    <xf numFmtId="166" fontId="3" fillId="59" borderId="30" xfId="131" applyNumberFormat="1" applyFont="1" applyFill="1" applyBorder="1" applyAlignment="1">
      <alignment vertical="center" shrinkToFit="1"/>
      <protection/>
    </xf>
    <xf numFmtId="166" fontId="3" fillId="59" borderId="31" xfId="131" applyNumberFormat="1" applyFont="1" applyFill="1" applyBorder="1" applyAlignment="1">
      <alignment vertical="center" shrinkToFit="1"/>
      <protection/>
    </xf>
    <xf numFmtId="166" fontId="3" fillId="0" borderId="32" xfId="131" applyNumberFormat="1" applyFont="1" applyFill="1" applyBorder="1" applyAlignment="1">
      <alignment vertical="center" shrinkToFit="1"/>
      <protection/>
    </xf>
    <xf numFmtId="166" fontId="3" fillId="0" borderId="30" xfId="131" applyNumberFormat="1" applyFont="1" applyFill="1" applyBorder="1" applyAlignment="1">
      <alignment vertical="center" shrinkToFit="1"/>
      <protection/>
    </xf>
    <xf numFmtId="166" fontId="2" fillId="59" borderId="30" xfId="131" applyNumberFormat="1" applyFont="1" applyFill="1" applyBorder="1" applyAlignment="1">
      <alignment vertical="center" shrinkToFit="1"/>
      <protection/>
    </xf>
    <xf numFmtId="166" fontId="2" fillId="59" borderId="31" xfId="131" applyNumberFormat="1" applyFont="1" applyFill="1" applyBorder="1" applyAlignment="1">
      <alignment vertical="center" shrinkToFit="1"/>
      <protection/>
    </xf>
    <xf numFmtId="166" fontId="2" fillId="0" borderId="32" xfId="131" applyNumberFormat="1" applyFont="1" applyFill="1" applyBorder="1" applyAlignment="1">
      <alignment vertical="center" shrinkToFit="1"/>
      <protection/>
    </xf>
    <xf numFmtId="166" fontId="2" fillId="0" borderId="30" xfId="131" applyNumberFormat="1" applyFont="1" applyFill="1" applyBorder="1" applyAlignment="1">
      <alignment vertical="center" shrinkToFit="1"/>
      <protection/>
    </xf>
    <xf numFmtId="166" fontId="2" fillId="59" borderId="30" xfId="131" applyNumberFormat="1" applyFont="1" applyFill="1" applyBorder="1" applyAlignment="1">
      <alignment horizontal="center" vertical="center" shrinkToFit="1"/>
      <protection/>
    </xf>
    <xf numFmtId="166" fontId="2" fillId="59" borderId="31" xfId="131" applyNumberFormat="1" applyFont="1" applyFill="1" applyBorder="1" applyAlignment="1">
      <alignment horizontal="center"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30" xfId="131" applyNumberFormat="1" applyFont="1" applyFill="1" applyBorder="1" applyAlignment="1">
      <alignment vertical="center" shrinkToFit="1"/>
      <protection/>
    </xf>
    <xf numFmtId="175" fontId="2" fillId="59" borderId="31" xfId="131" applyNumberFormat="1" applyFont="1" applyFill="1" applyBorder="1" applyAlignment="1">
      <alignment vertical="center" shrinkToFit="1"/>
      <protection/>
    </xf>
    <xf numFmtId="175" fontId="2" fillId="0" borderId="32" xfId="131" applyNumberFormat="1" applyFont="1" applyFill="1" applyBorder="1" applyAlignment="1">
      <alignment vertical="center" shrinkToFit="1"/>
      <protection/>
    </xf>
    <xf numFmtId="175" fontId="2" fillId="0" borderId="30" xfId="131" applyNumberFormat="1" applyFont="1" applyFill="1" applyBorder="1" applyAlignment="1">
      <alignment vertical="center" shrinkToFit="1"/>
      <protection/>
    </xf>
    <xf numFmtId="166" fontId="3" fillId="59" borderId="30" xfId="131" applyNumberFormat="1" applyFont="1" applyFill="1" applyBorder="1" applyAlignment="1">
      <alignment horizontal="center"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3" fillId="0" borderId="32" xfId="131" applyNumberFormat="1" applyFont="1" applyFill="1" applyBorder="1" applyAlignment="1">
      <alignment horizontal="center" vertical="center" shrinkToFit="1"/>
      <protection/>
    </xf>
    <xf numFmtId="166" fontId="3" fillId="0" borderId="30" xfId="131" applyNumberFormat="1" applyFont="1" applyFill="1" applyBorder="1" applyAlignment="1">
      <alignment horizontal="center" vertical="center" shrinkToFit="1"/>
      <protection/>
    </xf>
    <xf numFmtId="166" fontId="2" fillId="59" borderId="33" xfId="131" applyNumberFormat="1" applyFont="1" applyFill="1" applyBorder="1" applyAlignment="1">
      <alignment vertical="center" shrinkToFit="1"/>
      <protection/>
    </xf>
    <xf numFmtId="166" fontId="2" fillId="59" borderId="34" xfId="131" applyNumberFormat="1" applyFont="1" applyFill="1" applyBorder="1" applyAlignment="1">
      <alignment vertical="center" shrinkToFit="1"/>
      <protection/>
    </xf>
    <xf numFmtId="166" fontId="2" fillId="0" borderId="35" xfId="131" applyNumberFormat="1" applyFont="1" applyFill="1" applyBorder="1" applyAlignment="1">
      <alignment vertical="center" shrinkToFit="1"/>
      <protection/>
    </xf>
    <xf numFmtId="166" fontId="2" fillId="0" borderId="33" xfId="131" applyNumberFormat="1" applyFont="1" applyFill="1" applyBorder="1" applyAlignment="1">
      <alignment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8" applyNumberFormat="1" applyFont="1" applyFill="1" applyAlignment="1">
      <alignment vertical="center"/>
    </xf>
    <xf numFmtId="169" fontId="7" fillId="0" borderId="0" xfId="140" applyNumberFormat="1" applyFont="1" applyFill="1" applyAlignment="1">
      <alignment vertical="center"/>
    </xf>
    <xf numFmtId="0" fontId="7" fillId="0" borderId="0" xfId="0" applyFont="1" applyFill="1" applyAlignment="1">
      <alignment horizontal="left" indent="1"/>
    </xf>
    <xf numFmtId="0" fontId="10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36" xfId="0" applyFont="1" applyFill="1" applyBorder="1" applyAlignment="1">
      <alignment horizontal="left" vertical="center" wrapText="1"/>
    </xf>
    <xf numFmtId="0" fontId="30" fillId="60" borderId="37" xfId="0" applyFont="1" applyFill="1" applyBorder="1" applyAlignment="1">
      <alignment horizontal="left" vertical="center" wrapText="1"/>
    </xf>
    <xf numFmtId="0" fontId="30" fillId="56" borderId="37" xfId="0" applyFont="1" applyFill="1" applyBorder="1" applyAlignment="1">
      <alignment horizontal="left" vertical="center" wrapText="1"/>
    </xf>
    <xf numFmtId="0" fontId="30" fillId="55" borderId="37" xfId="0" applyFont="1" applyFill="1" applyBorder="1" applyAlignment="1">
      <alignment horizontal="left" vertical="center" wrapText="1"/>
    </xf>
    <xf numFmtId="0" fontId="30" fillId="55" borderId="38" xfId="0" applyFont="1" applyFill="1" applyBorder="1" applyAlignment="1">
      <alignment horizontal="left" vertical="center" wrapText="1"/>
    </xf>
    <xf numFmtId="49" fontId="27" fillId="58" borderId="24" xfId="131" applyNumberFormat="1" applyFont="1" applyFill="1" applyBorder="1" applyAlignment="1">
      <alignment horizontal="center" vertical="center" wrapText="1"/>
      <protection/>
    </xf>
    <xf numFmtId="166" fontId="3" fillId="59" borderId="28" xfId="131" applyNumberFormat="1" applyFont="1" applyFill="1" applyBorder="1" applyAlignment="1">
      <alignment vertical="center" shrinkToFit="1"/>
      <protection/>
    </xf>
    <xf numFmtId="166" fontId="2" fillId="59" borderId="28" xfId="131" applyNumberFormat="1" applyFont="1" applyFill="1" applyBorder="1" applyAlignment="1">
      <alignment vertical="center" shrinkToFit="1"/>
      <protection/>
    </xf>
    <xf numFmtId="166" fontId="2" fillId="59" borderId="28" xfId="131" applyNumberFormat="1" applyFont="1" applyFill="1" applyBorder="1" applyAlignment="1">
      <alignment horizontal="center" vertical="center" shrinkToFit="1"/>
      <protection/>
    </xf>
    <xf numFmtId="175" fontId="2" fillId="59" borderId="28" xfId="131" applyNumberFormat="1" applyFont="1" applyFill="1" applyBorder="1" applyAlignment="1">
      <alignment vertical="center" shrinkToFit="1"/>
      <protection/>
    </xf>
    <xf numFmtId="166" fontId="3" fillId="59" borderId="28" xfId="131" applyNumberFormat="1" applyFont="1" applyFill="1" applyBorder="1" applyAlignment="1">
      <alignment horizontal="center" vertical="center" shrinkToFit="1"/>
      <protection/>
    </xf>
    <xf numFmtId="166" fontId="2" fillId="59" borderId="29" xfId="131" applyNumberFormat="1" applyFont="1" applyFill="1" applyBorder="1" applyAlignment="1">
      <alignment vertical="center" shrinkToFit="1"/>
      <protection/>
    </xf>
    <xf numFmtId="169" fontId="3" fillId="0" borderId="26" xfId="138" applyNumberFormat="1" applyFont="1" applyFill="1" applyBorder="1" applyAlignment="1">
      <alignment horizontal="right" vertical="center" wrapText="1"/>
    </xf>
    <xf numFmtId="169" fontId="3" fillId="0" borderId="25" xfId="138" applyNumberFormat="1" applyFont="1" applyFill="1" applyBorder="1" applyAlignment="1">
      <alignment horizontal="right" vertical="center" wrapText="1"/>
    </xf>
    <xf numFmtId="169" fontId="3" fillId="0" borderId="27" xfId="138" applyNumberFormat="1" applyFont="1" applyFill="1" applyBorder="1" applyAlignment="1">
      <alignment horizontal="right" vertical="center" wrapText="1"/>
    </xf>
    <xf numFmtId="169" fontId="2" fillId="0" borderId="32" xfId="138" applyNumberFormat="1" applyFont="1" applyFill="1" applyBorder="1" applyAlignment="1">
      <alignment horizontal="right" vertical="center" wrapText="1"/>
    </xf>
    <xf numFmtId="169" fontId="2" fillId="0" borderId="30" xfId="138" applyNumberFormat="1" applyFont="1" applyFill="1" applyBorder="1" applyAlignment="1">
      <alignment horizontal="right" vertical="center" wrapText="1"/>
    </xf>
    <xf numFmtId="169" fontId="2" fillId="0" borderId="31" xfId="138" applyNumberFormat="1" applyFont="1" applyFill="1" applyBorder="1" applyAlignment="1">
      <alignment horizontal="right" vertical="center" wrapText="1"/>
    </xf>
    <xf numFmtId="169" fontId="2" fillId="0" borderId="35" xfId="138" applyNumberFormat="1" applyFont="1" applyFill="1" applyBorder="1" applyAlignment="1">
      <alignment horizontal="right" vertical="center" wrapText="1"/>
    </xf>
    <xf numFmtId="169" fontId="2" fillId="0" borderId="33" xfId="138" applyNumberFormat="1" applyFont="1" applyFill="1" applyBorder="1" applyAlignment="1">
      <alignment horizontal="right" vertical="center" wrapText="1"/>
    </xf>
    <xf numFmtId="169" fontId="2" fillId="0" borderId="34" xfId="138" applyNumberFormat="1" applyFont="1" applyFill="1" applyBorder="1" applyAlignment="1">
      <alignment horizontal="right" vertical="center" wrapText="1"/>
    </xf>
    <xf numFmtId="169" fontId="2" fillId="0" borderId="26" xfId="138" applyNumberFormat="1" applyFont="1" applyFill="1" applyBorder="1" applyAlignment="1">
      <alignment horizontal="right" vertical="center" wrapText="1"/>
    </xf>
    <xf numFmtId="169" fontId="2" fillId="0" borderId="25" xfId="138" applyNumberFormat="1" applyFont="1" applyFill="1" applyBorder="1" applyAlignment="1">
      <alignment horizontal="right" vertical="center" wrapText="1"/>
    </xf>
    <xf numFmtId="169" fontId="2" fillId="0" borderId="27" xfId="138" applyNumberFormat="1" applyFont="1" applyFill="1" applyBorder="1" applyAlignment="1">
      <alignment horizontal="right" vertical="center" wrapText="1"/>
    </xf>
    <xf numFmtId="169" fontId="3" fillId="59" borderId="25" xfId="131" applyNumberFormat="1" applyFont="1" applyFill="1" applyBorder="1" applyAlignment="1">
      <alignment horizontal="right" vertical="center" wrapText="1"/>
      <protection/>
    </xf>
    <xf numFmtId="169" fontId="3" fillId="59" borderId="27" xfId="131" applyNumberFormat="1" applyFont="1" applyFill="1" applyBorder="1" applyAlignment="1">
      <alignment horizontal="right" vertical="center" wrapText="1"/>
      <protection/>
    </xf>
    <xf numFmtId="169" fontId="2" fillId="59" borderId="30" xfId="131" applyNumberFormat="1" applyFont="1" applyFill="1" applyBorder="1" applyAlignment="1">
      <alignment horizontal="right" vertical="center" wrapText="1"/>
      <protection/>
    </xf>
    <xf numFmtId="169" fontId="2" fillId="59" borderId="31" xfId="131" applyNumberFormat="1" applyFont="1" applyFill="1" applyBorder="1" applyAlignment="1">
      <alignment horizontal="right" vertical="center" wrapText="1"/>
      <protection/>
    </xf>
    <xf numFmtId="169" fontId="3" fillId="59" borderId="30" xfId="131" applyNumberFormat="1" applyFont="1" applyFill="1" applyBorder="1" applyAlignment="1">
      <alignment horizontal="right" vertical="center" wrapText="1"/>
      <protection/>
    </xf>
    <xf numFmtId="169" fontId="3" fillId="59" borderId="31" xfId="131" applyNumberFormat="1" applyFont="1" applyFill="1" applyBorder="1" applyAlignment="1">
      <alignment horizontal="right" vertical="center" wrapText="1"/>
      <protection/>
    </xf>
    <xf numFmtId="169" fontId="3" fillId="59" borderId="33" xfId="131" applyNumberFormat="1" applyFont="1" applyFill="1" applyBorder="1" applyAlignment="1">
      <alignment horizontal="right" vertical="center" wrapText="1"/>
      <protection/>
    </xf>
    <xf numFmtId="169" fontId="3" fillId="59" borderId="34" xfId="131" applyNumberFormat="1" applyFont="1" applyFill="1" applyBorder="1" applyAlignment="1">
      <alignment horizontal="right" vertical="center" wrapText="1"/>
      <protection/>
    </xf>
    <xf numFmtId="169" fontId="2" fillId="59" borderId="33" xfId="131" applyNumberFormat="1" applyFont="1" applyFill="1" applyBorder="1" applyAlignment="1">
      <alignment horizontal="right" vertical="center" wrapText="1"/>
      <protection/>
    </xf>
    <xf numFmtId="169" fontId="2" fillId="59" borderId="34" xfId="131" applyNumberFormat="1" applyFont="1" applyFill="1" applyBorder="1" applyAlignment="1">
      <alignment horizontal="right" vertical="center" wrapText="1"/>
      <protection/>
    </xf>
    <xf numFmtId="166" fontId="3" fillId="61" borderId="32" xfId="131" applyNumberFormat="1" applyFont="1" applyFill="1" applyBorder="1" applyAlignment="1" applyProtection="1">
      <alignment vertical="center" shrinkToFit="1"/>
      <protection/>
    </xf>
    <xf numFmtId="166" fontId="3" fillId="61" borderId="30" xfId="131" applyNumberFormat="1" applyFont="1" applyFill="1" applyBorder="1" applyAlignment="1" applyProtection="1">
      <alignment vertical="center" shrinkToFit="1"/>
      <protection/>
    </xf>
    <xf numFmtId="166" fontId="3" fillId="61" borderId="31" xfId="131" applyNumberFormat="1" applyFont="1" applyFill="1" applyBorder="1" applyAlignment="1" applyProtection="1">
      <alignment vertical="center" shrinkToFit="1"/>
      <protection/>
    </xf>
    <xf numFmtId="0" fontId="10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9" xfId="131" applyNumberFormat="1" applyFont="1" applyFill="1" applyBorder="1" applyAlignment="1" applyProtection="1">
      <alignment horizontal="center" vertical="center"/>
      <protection locked="0"/>
    </xf>
    <xf numFmtId="49" fontId="27" fillId="58" borderId="24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25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27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6" xfId="131" applyNumberFormat="1" applyFont="1" applyFill="1" applyBorder="1" applyAlignment="1" applyProtection="1">
      <alignment horizontal="center" vertical="center"/>
      <protection locked="0"/>
    </xf>
    <xf numFmtId="1" fontId="27" fillId="58" borderId="25" xfId="131" applyNumberFormat="1" applyFont="1" applyFill="1" applyBorder="1" applyAlignment="1" applyProtection="1">
      <alignment horizontal="center" vertical="center"/>
      <protection locked="0"/>
    </xf>
    <xf numFmtId="1" fontId="27" fillId="58" borderId="27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3" fillId="0" borderId="0" xfId="0" applyFont="1" applyAlignment="1" applyProtection="1">
      <alignment/>
      <protection locked="0"/>
    </xf>
    <xf numFmtId="0" fontId="107" fillId="0" borderId="28" xfId="0" applyFont="1" applyBorder="1" applyAlignment="1" applyProtection="1">
      <alignment horizontal="left" vertical="center"/>
      <protection locked="0"/>
    </xf>
    <xf numFmtId="0" fontId="107" fillId="0" borderId="40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10" fillId="0" borderId="0" xfId="0" applyFont="1" applyBorder="1" applyAlignment="1" applyProtection="1">
      <alignment vertical="center"/>
      <protection locked="0"/>
    </xf>
    <xf numFmtId="0" fontId="105" fillId="0" borderId="0" xfId="0" applyFont="1" applyBorder="1" applyAlignment="1" applyProtection="1">
      <alignment vertical="center" wrapText="1"/>
      <protection locked="0"/>
    </xf>
    <xf numFmtId="0" fontId="105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5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5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locked="0"/>
    </xf>
    <xf numFmtId="175" fontId="2" fillId="61" borderId="32" xfId="131" applyNumberFormat="1" applyFont="1" applyFill="1" applyBorder="1" applyAlignment="1" applyProtection="1">
      <alignment horizontal="right" vertical="center" shrinkToFit="1"/>
      <protection/>
    </xf>
    <xf numFmtId="175" fontId="2" fillId="61" borderId="30" xfId="131" applyNumberFormat="1" applyFont="1" applyFill="1" applyBorder="1" applyAlignment="1" applyProtection="1">
      <alignment horizontal="right" vertical="center" shrinkToFit="1"/>
      <protection/>
    </xf>
    <xf numFmtId="175" fontId="2" fillId="61" borderId="31" xfId="131" applyNumberFormat="1" applyFont="1" applyFill="1" applyBorder="1" applyAlignment="1" applyProtection="1">
      <alignment horizontal="right" vertical="center" shrinkToFit="1"/>
      <protection/>
    </xf>
    <xf numFmtId="166" fontId="2" fillId="61" borderId="32" xfId="131" applyNumberFormat="1" applyFont="1" applyFill="1" applyBorder="1" applyAlignment="1" applyProtection="1">
      <alignment vertical="center" shrinkToFit="1"/>
      <protection/>
    </xf>
    <xf numFmtId="166" fontId="2" fillId="61" borderId="30" xfId="131" applyNumberFormat="1" applyFont="1" applyFill="1" applyBorder="1" applyAlignment="1" applyProtection="1">
      <alignment vertical="center" shrinkToFit="1"/>
      <protection/>
    </xf>
    <xf numFmtId="166" fontId="2" fillId="61" borderId="31" xfId="131" applyNumberFormat="1" applyFont="1" applyFill="1" applyBorder="1" applyAlignment="1" applyProtection="1">
      <alignment vertical="center" shrinkToFit="1"/>
      <protection/>
    </xf>
    <xf numFmtId="0" fontId="2" fillId="61" borderId="32" xfId="131" applyNumberFormat="1" applyFont="1" applyFill="1" applyBorder="1" applyAlignment="1" applyProtection="1">
      <alignment horizontal="right" vertical="center" shrinkToFit="1"/>
      <protection/>
    </xf>
    <xf numFmtId="0" fontId="2" fillId="61" borderId="31" xfId="131" applyNumberFormat="1" applyFont="1" applyFill="1" applyBorder="1" applyAlignment="1" applyProtection="1">
      <alignment horizontal="right" vertical="center" shrinkToFit="1"/>
      <protection/>
    </xf>
    <xf numFmtId="0" fontId="108" fillId="0" borderId="0" xfId="0" applyFont="1" applyAlignment="1" applyProtection="1">
      <alignment/>
      <protection locked="0"/>
    </xf>
    <xf numFmtId="0" fontId="111" fillId="0" borderId="0" xfId="0" applyFont="1" applyAlignment="1" applyProtection="1">
      <alignment/>
      <protection locked="0"/>
    </xf>
    <xf numFmtId="0" fontId="112" fillId="0" borderId="0" xfId="0" applyFont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3" fillId="0" borderId="0" xfId="0" applyFont="1" applyAlignment="1">
      <alignment/>
    </xf>
    <xf numFmtId="0" fontId="2" fillId="10" borderId="42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0" fontId="2" fillId="10" borderId="43" xfId="0" applyFont="1" applyFill="1" applyBorder="1" applyAlignment="1">
      <alignment vertical="center"/>
    </xf>
    <xf numFmtId="4" fontId="2" fillId="0" borderId="32" xfId="0" applyNumberFormat="1" applyFont="1" applyBorder="1" applyAlignment="1">
      <alignment vertical="center"/>
    </xf>
    <xf numFmtId="4" fontId="2" fillId="0" borderId="30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34" fillId="10" borderId="43" xfId="0" applyFont="1" applyFill="1" applyBorder="1" applyAlignment="1">
      <alignment horizontal="left" vertical="center" wrapText="1"/>
    </xf>
    <xf numFmtId="0" fontId="34" fillId="10" borderId="44" xfId="0" applyFont="1" applyFill="1" applyBorder="1" applyAlignment="1">
      <alignment horizontal="left" vertical="center" wrapText="1"/>
    </xf>
    <xf numFmtId="4" fontId="2" fillId="0" borderId="35" xfId="0" applyNumberFormat="1" applyFont="1" applyBorder="1" applyAlignment="1">
      <alignment vertical="center"/>
    </xf>
    <xf numFmtId="4" fontId="2" fillId="0" borderId="33" xfId="0" applyNumberFormat="1" applyFont="1" applyBorder="1" applyAlignment="1">
      <alignment vertical="center"/>
    </xf>
    <xf numFmtId="4" fontId="2" fillId="0" borderId="34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20" xfId="0" applyFont="1" applyBorder="1" applyAlignment="1">
      <alignment vertical="center"/>
    </xf>
    <xf numFmtId="169" fontId="3" fillId="59" borderId="25" xfId="0" applyNumberFormat="1" applyFont="1" applyFill="1" applyBorder="1" applyAlignment="1">
      <alignment horizontal="right" vertical="center"/>
    </xf>
    <xf numFmtId="169" fontId="3" fillId="59" borderId="27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169" fontId="2" fillId="0" borderId="32" xfId="138" applyNumberFormat="1" applyFont="1" applyFill="1" applyBorder="1" applyAlignment="1">
      <alignment horizontal="right" vertical="center"/>
    </xf>
    <xf numFmtId="169" fontId="2" fillId="0" borderId="30" xfId="138" applyNumberFormat="1" applyFont="1" applyFill="1" applyBorder="1" applyAlignment="1">
      <alignment horizontal="right" vertical="center"/>
    </xf>
    <xf numFmtId="169" fontId="2" fillId="0" borderId="31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2"/>
    </xf>
    <xf numFmtId="0" fontId="2" fillId="0" borderId="22" xfId="0" applyFont="1" applyBorder="1" applyAlignment="1">
      <alignment horizontal="left" vertical="center" wrapText="1" indent="2"/>
    </xf>
    <xf numFmtId="169" fontId="2" fillId="0" borderId="45" xfId="138" applyNumberFormat="1" applyFont="1" applyFill="1" applyBorder="1" applyAlignment="1">
      <alignment horizontal="right" vertical="center"/>
    </xf>
    <xf numFmtId="169" fontId="2" fillId="0" borderId="46" xfId="138" applyNumberFormat="1" applyFont="1" applyFill="1" applyBorder="1" applyAlignment="1">
      <alignment horizontal="right" vertical="center"/>
    </xf>
    <xf numFmtId="169" fontId="2" fillId="0" borderId="47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indent="1"/>
    </xf>
    <xf numFmtId="169" fontId="2" fillId="0" borderId="35" xfId="138" applyNumberFormat="1" applyFont="1" applyFill="1" applyBorder="1" applyAlignment="1">
      <alignment horizontal="right" vertical="center"/>
    </xf>
    <xf numFmtId="169" fontId="2" fillId="0" borderId="33" xfId="138" applyNumberFormat="1" applyFont="1" applyFill="1" applyBorder="1" applyAlignment="1">
      <alignment horizontal="right" vertical="center"/>
    </xf>
    <xf numFmtId="169" fontId="2" fillId="0" borderId="34" xfId="138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/>
    </xf>
    <xf numFmtId="0" fontId="2" fillId="0" borderId="0" xfId="0" applyFont="1" applyAlignment="1">
      <alignment vertical="center"/>
    </xf>
    <xf numFmtId="166" fontId="3" fillId="59" borderId="24" xfId="0" applyNumberFormat="1" applyFont="1" applyFill="1" applyBorder="1" applyAlignment="1">
      <alignment vertical="center"/>
    </xf>
    <xf numFmtId="166" fontId="3" fillId="59" borderId="25" xfId="0" applyNumberFormat="1" applyFont="1" applyFill="1" applyBorder="1" applyAlignment="1">
      <alignment vertical="center"/>
    </xf>
    <xf numFmtId="166" fontId="3" fillId="59" borderId="27" xfId="0" applyNumberFormat="1" applyFont="1" applyFill="1" applyBorder="1" applyAlignment="1">
      <alignment vertical="center"/>
    </xf>
    <xf numFmtId="166" fontId="2" fillId="0" borderId="32" xfId="0" applyNumberFormat="1" applyFont="1" applyBorder="1" applyAlignment="1">
      <alignment vertical="center"/>
    </xf>
    <xf numFmtId="166" fontId="2" fillId="0" borderId="30" xfId="0" applyNumberFormat="1" applyFont="1" applyBorder="1" applyAlignment="1">
      <alignment vertical="center"/>
    </xf>
    <xf numFmtId="166" fontId="2" fillId="0" borderId="31" xfId="0" applyNumberFormat="1" applyFont="1" applyBorder="1" applyAlignment="1">
      <alignment vertical="center"/>
    </xf>
    <xf numFmtId="166" fontId="2" fillId="0" borderId="35" xfId="0" applyNumberFormat="1" applyFont="1" applyBorder="1" applyAlignment="1">
      <alignment vertical="center"/>
    </xf>
    <xf numFmtId="166" fontId="2" fillId="0" borderId="33" xfId="0" applyNumberFormat="1" applyFont="1" applyBorder="1" applyAlignment="1">
      <alignment vertical="center"/>
    </xf>
    <xf numFmtId="166" fontId="2" fillId="0" borderId="34" xfId="0" applyNumberFormat="1" applyFont="1" applyBorder="1" applyAlignment="1">
      <alignment vertical="center"/>
    </xf>
    <xf numFmtId="166" fontId="2" fillId="59" borderId="28" xfId="0" applyNumberFormat="1" applyFont="1" applyFill="1" applyBorder="1" applyAlignment="1">
      <alignment vertical="center"/>
    </xf>
    <xf numFmtId="166" fontId="2" fillId="59" borderId="30" xfId="0" applyNumberFormat="1" applyFont="1" applyFill="1" applyBorder="1" applyAlignment="1">
      <alignment vertical="center"/>
    </xf>
    <xf numFmtId="166" fontId="2" fillId="59" borderId="31" xfId="0" applyNumberFormat="1" applyFont="1" applyFill="1" applyBorder="1" applyAlignment="1">
      <alignment vertical="center"/>
    </xf>
    <xf numFmtId="166" fontId="2" fillId="59" borderId="29" xfId="0" applyNumberFormat="1" applyFont="1" applyFill="1" applyBorder="1" applyAlignment="1">
      <alignment vertical="center"/>
    </xf>
    <xf numFmtId="166" fontId="2" fillId="59" borderId="33" xfId="0" applyNumberFormat="1" applyFont="1" applyFill="1" applyBorder="1" applyAlignment="1">
      <alignment vertical="center"/>
    </xf>
    <xf numFmtId="166" fontId="2" fillId="59" borderId="34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27" xfId="0" applyNumberFormat="1" applyFont="1" applyFill="1" applyBorder="1" applyAlignment="1">
      <alignment vertical="center"/>
    </xf>
    <xf numFmtId="4" fontId="2" fillId="59" borderId="28" xfId="0" applyNumberFormat="1" applyFont="1" applyFill="1" applyBorder="1" applyAlignment="1">
      <alignment vertical="center"/>
    </xf>
    <xf numFmtId="4" fontId="2" fillId="59" borderId="30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33" xfId="0" applyNumberFormat="1" applyFont="1" applyFill="1" applyBorder="1" applyAlignment="1">
      <alignment vertical="center"/>
    </xf>
    <xf numFmtId="4" fontId="2" fillId="59" borderId="34" xfId="0" applyNumberFormat="1" applyFont="1" applyFill="1" applyBorder="1" applyAlignment="1">
      <alignment vertical="center"/>
    </xf>
    <xf numFmtId="169" fontId="2" fillId="59" borderId="30" xfId="0" applyNumberFormat="1" applyFont="1" applyFill="1" applyBorder="1" applyAlignment="1">
      <alignment horizontal="right" vertical="center"/>
    </xf>
    <xf numFmtId="169" fontId="2" fillId="59" borderId="31" xfId="0" applyNumberFormat="1" applyFont="1" applyFill="1" applyBorder="1" applyAlignment="1">
      <alignment horizontal="right" vertical="center"/>
    </xf>
    <xf numFmtId="169" fontId="2" fillId="59" borderId="30" xfId="0" applyNumberFormat="1" applyFont="1" applyFill="1" applyBorder="1" applyAlignment="1">
      <alignment horizontal="right" vertical="center" wrapText="1"/>
    </xf>
    <xf numFmtId="169" fontId="2" fillId="59" borderId="31" xfId="0" applyNumberFormat="1" applyFont="1" applyFill="1" applyBorder="1" applyAlignment="1">
      <alignment horizontal="right" vertical="center" wrapText="1"/>
    </xf>
    <xf numFmtId="169" fontId="2" fillId="59" borderId="46" xfId="0" applyNumberFormat="1" applyFont="1" applyFill="1" applyBorder="1" applyAlignment="1">
      <alignment horizontal="right" vertical="center" wrapText="1"/>
    </xf>
    <xf numFmtId="169" fontId="2" fillId="59" borderId="47" xfId="0" applyNumberFormat="1" applyFont="1" applyFill="1" applyBorder="1" applyAlignment="1">
      <alignment horizontal="right" vertical="center" wrapText="1"/>
    </xf>
    <xf numFmtId="169" fontId="3" fillId="59" borderId="30" xfId="0" applyNumberFormat="1" applyFont="1" applyFill="1" applyBorder="1" applyAlignment="1">
      <alignment horizontal="right" vertical="center"/>
    </xf>
    <xf numFmtId="169" fontId="3" fillId="59" borderId="31" xfId="0" applyNumberFormat="1" applyFont="1" applyFill="1" applyBorder="1" applyAlignment="1">
      <alignment horizontal="right" vertical="center"/>
    </xf>
    <xf numFmtId="169" fontId="2" fillId="59" borderId="33" xfId="0" applyNumberFormat="1" applyFont="1" applyFill="1" applyBorder="1" applyAlignment="1">
      <alignment horizontal="right" vertical="center" wrapText="1"/>
    </xf>
    <xf numFmtId="169" fontId="2" fillId="59" borderId="34" xfId="0" applyNumberFormat="1" applyFont="1" applyFill="1" applyBorder="1" applyAlignment="1">
      <alignment horizontal="right" vertical="center" wrapText="1"/>
    </xf>
    <xf numFmtId="169" fontId="2" fillId="59" borderId="25" xfId="131" applyNumberFormat="1" applyFont="1" applyFill="1" applyBorder="1" applyAlignment="1">
      <alignment horizontal="right" vertical="center" wrapText="1"/>
      <protection/>
    </xf>
    <xf numFmtId="169" fontId="2" fillId="59" borderId="27" xfId="131" applyNumberFormat="1" applyFont="1" applyFill="1" applyBorder="1" applyAlignment="1">
      <alignment horizontal="right" vertical="center" wrapText="1"/>
      <protection/>
    </xf>
    <xf numFmtId="166" fontId="3" fillId="59" borderId="28" xfId="131" applyNumberFormat="1" applyFont="1" applyFill="1" applyBorder="1" applyAlignment="1" applyProtection="1">
      <alignment vertical="center" shrinkToFit="1"/>
      <protection/>
    </xf>
    <xf numFmtId="166" fontId="3" fillId="59" borderId="30" xfId="131" applyNumberFormat="1" applyFont="1" applyFill="1" applyBorder="1" applyAlignment="1" applyProtection="1">
      <alignment vertical="center" shrinkToFit="1"/>
      <protection/>
    </xf>
    <xf numFmtId="166" fontId="2" fillId="59" borderId="28" xfId="131" applyNumberFormat="1" applyFont="1" applyFill="1" applyBorder="1" applyAlignment="1" applyProtection="1">
      <alignment vertical="center" shrinkToFit="1"/>
      <protection/>
    </xf>
    <xf numFmtId="166" fontId="2" fillId="59" borderId="30" xfId="131" applyNumberFormat="1" applyFont="1" applyFill="1" applyBorder="1" applyAlignment="1" applyProtection="1">
      <alignment vertical="center" shrinkToFit="1"/>
      <protection/>
    </xf>
    <xf numFmtId="166" fontId="2" fillId="59" borderId="28" xfId="131" applyNumberFormat="1" applyFont="1" applyFill="1" applyBorder="1" applyAlignment="1" applyProtection="1">
      <alignment horizontal="center" vertical="center" shrinkToFit="1"/>
      <protection/>
    </xf>
    <xf numFmtId="166" fontId="2" fillId="59" borderId="30" xfId="131" applyNumberFormat="1" applyFont="1" applyFill="1" applyBorder="1" applyAlignment="1" applyProtection="1">
      <alignment horizontal="center" vertical="center" shrinkToFit="1"/>
      <protection/>
    </xf>
    <xf numFmtId="175" fontId="2" fillId="59" borderId="28" xfId="131" applyNumberFormat="1" applyFont="1" applyFill="1" applyBorder="1" applyAlignment="1" applyProtection="1">
      <alignment vertical="center" shrinkToFit="1"/>
      <protection/>
    </xf>
    <xf numFmtId="175" fontId="2" fillId="59" borderId="30" xfId="131" applyNumberFormat="1" applyFont="1" applyFill="1" applyBorder="1" applyAlignment="1" applyProtection="1">
      <alignment vertical="center" shrinkToFit="1"/>
      <protection/>
    </xf>
    <xf numFmtId="166" fontId="3" fillId="59" borderId="28" xfId="131" applyNumberFormat="1" applyFont="1" applyFill="1" applyBorder="1" applyAlignment="1" applyProtection="1">
      <alignment horizontal="center" vertical="center" shrinkToFit="1"/>
      <protection/>
    </xf>
    <xf numFmtId="166" fontId="3" fillId="59" borderId="30" xfId="131" applyNumberFormat="1" applyFont="1" applyFill="1" applyBorder="1" applyAlignment="1" applyProtection="1">
      <alignment horizontal="center" vertical="center" shrinkToFit="1"/>
      <protection/>
    </xf>
    <xf numFmtId="166" fontId="2" fillId="59" borderId="29" xfId="131" applyNumberFormat="1" applyFont="1" applyFill="1" applyBorder="1" applyAlignment="1" applyProtection="1">
      <alignment vertical="center" shrinkToFit="1"/>
      <protection/>
    </xf>
    <xf numFmtId="166" fontId="2" fillId="59" borderId="33" xfId="131" applyNumberFormat="1" applyFont="1" applyFill="1" applyBorder="1" applyAlignment="1" applyProtection="1">
      <alignment vertical="center" shrinkToFit="1"/>
      <protection/>
    </xf>
    <xf numFmtId="0" fontId="106" fillId="0" borderId="40" xfId="0" applyFont="1" applyBorder="1" applyAlignment="1" applyProtection="1">
      <alignment horizontal="left" vertical="center" wrapText="1"/>
      <protection locked="0"/>
    </xf>
    <xf numFmtId="0" fontId="107" fillId="0" borderId="40" xfId="0" applyFont="1" applyBorder="1" applyAlignment="1" applyProtection="1">
      <alignment horizontal="left" vertical="center" wrapText="1"/>
      <protection locked="0"/>
    </xf>
    <xf numFmtId="0" fontId="107" fillId="0" borderId="48" xfId="0" applyFont="1" applyBorder="1" applyAlignment="1" applyProtection="1">
      <alignment horizontal="left" vertical="center" wrapText="1"/>
      <protection locked="0"/>
    </xf>
    <xf numFmtId="166" fontId="3" fillId="59" borderId="25" xfId="0" applyNumberFormat="1" applyFont="1" applyFill="1" applyBorder="1" applyAlignment="1">
      <alignment horizontal="right" vertical="center"/>
    </xf>
    <xf numFmtId="166" fontId="3" fillId="59" borderId="27" xfId="0" applyNumberFormat="1" applyFont="1" applyFill="1" applyBorder="1" applyAlignment="1">
      <alignment horizontal="right" vertical="center"/>
    </xf>
    <xf numFmtId="166" fontId="3" fillId="59" borderId="28" xfId="0" applyNumberFormat="1" applyFont="1" applyFill="1" applyBorder="1" applyAlignment="1">
      <alignment vertical="center"/>
    </xf>
    <xf numFmtId="166" fontId="3" fillId="59" borderId="30" xfId="0" applyNumberFormat="1" applyFont="1" applyFill="1" applyBorder="1" applyAlignment="1">
      <alignment vertical="center"/>
    </xf>
    <xf numFmtId="166" fontId="3" fillId="59" borderId="31" xfId="0" applyNumberFormat="1" applyFont="1" applyFill="1" applyBorder="1" applyAlignment="1">
      <alignment vertical="center"/>
    </xf>
    <xf numFmtId="166" fontId="2" fillId="59" borderId="30" xfId="0" applyNumberFormat="1" applyFont="1" applyFill="1" applyBorder="1" applyAlignment="1">
      <alignment horizontal="right" vertical="center"/>
    </xf>
    <xf numFmtId="166" fontId="2" fillId="59" borderId="31" xfId="0" applyNumberFormat="1" applyFont="1" applyFill="1" applyBorder="1" applyAlignment="1">
      <alignment horizontal="right" vertical="center"/>
    </xf>
    <xf numFmtId="166" fontId="2" fillId="59" borderId="30" xfId="0" applyNumberFormat="1" applyFont="1" applyFill="1" applyBorder="1" applyAlignment="1">
      <alignment horizontal="right" vertical="center" wrapText="1"/>
    </xf>
    <xf numFmtId="166" fontId="2" fillId="59" borderId="31" xfId="0" applyNumberFormat="1" applyFont="1" applyFill="1" applyBorder="1" applyAlignment="1">
      <alignment horizontal="right" vertical="center" wrapText="1"/>
    </xf>
    <xf numFmtId="166" fontId="2" fillId="59" borderId="33" xfId="0" applyNumberFormat="1" applyFont="1" applyFill="1" applyBorder="1" applyAlignment="1">
      <alignment horizontal="right" vertical="center" wrapText="1"/>
    </xf>
    <xf numFmtId="166" fontId="2" fillId="59" borderId="34" xfId="0" applyNumberFormat="1" applyFont="1" applyFill="1" applyBorder="1" applyAlignment="1">
      <alignment horizontal="right" vertical="center" wrapText="1"/>
    </xf>
    <xf numFmtId="166" fontId="3" fillId="59" borderId="30" xfId="0" applyNumberFormat="1" applyFont="1" applyFill="1" applyBorder="1" applyAlignment="1">
      <alignment horizontal="right" vertical="center"/>
    </xf>
    <xf numFmtId="166" fontId="3" fillId="59" borderId="31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169" fontId="3" fillId="0" borderId="26" xfId="138" applyNumberFormat="1" applyFont="1" applyFill="1" applyBorder="1" applyAlignment="1">
      <alignment horizontal="right" vertical="center"/>
    </xf>
    <xf numFmtId="169" fontId="3" fillId="0" borderId="25" xfId="138" applyNumberFormat="1" applyFont="1" applyFill="1" applyBorder="1" applyAlignment="1">
      <alignment horizontal="right" vertical="center"/>
    </xf>
    <xf numFmtId="169" fontId="3" fillId="0" borderId="27" xfId="138" applyNumberFormat="1" applyFont="1" applyFill="1" applyBorder="1" applyAlignment="1">
      <alignment horizontal="right" vertical="center"/>
    </xf>
    <xf numFmtId="0" fontId="114" fillId="0" borderId="0" xfId="0" applyFont="1" applyAlignment="1">
      <alignment/>
    </xf>
    <xf numFmtId="169" fontId="3" fillId="0" borderId="32" xfId="138" applyNumberFormat="1" applyFont="1" applyFill="1" applyBorder="1" applyAlignment="1">
      <alignment horizontal="right" vertical="center"/>
    </xf>
    <xf numFmtId="169" fontId="3" fillId="0" borderId="30" xfId="138" applyNumberFormat="1" applyFont="1" applyFill="1" applyBorder="1" applyAlignment="1">
      <alignment horizontal="right" vertical="center"/>
    </xf>
    <xf numFmtId="169" fontId="3" fillId="0" borderId="31" xfId="138" applyNumberFormat="1" applyFont="1" applyFill="1" applyBorder="1" applyAlignment="1">
      <alignment horizontal="right" vertical="center"/>
    </xf>
    <xf numFmtId="166" fontId="3" fillId="0" borderId="26" xfId="0" applyNumberFormat="1" applyFont="1" applyBorder="1" applyAlignment="1">
      <alignment vertical="center"/>
    </xf>
    <xf numFmtId="166" fontId="3" fillId="0" borderId="25" xfId="0" applyNumberFormat="1" applyFont="1" applyBorder="1" applyAlignment="1">
      <alignment vertical="center"/>
    </xf>
    <xf numFmtId="166" fontId="3" fillId="0" borderId="27" xfId="0" applyNumberFormat="1" applyFont="1" applyBorder="1" applyAlignment="1">
      <alignment vertical="center"/>
    </xf>
    <xf numFmtId="166" fontId="3" fillId="0" borderId="32" xfId="0" applyNumberFormat="1" applyFont="1" applyBorder="1" applyAlignment="1">
      <alignment vertical="center"/>
    </xf>
    <xf numFmtId="166" fontId="3" fillId="0" borderId="30" xfId="0" applyNumberFormat="1" applyFont="1" applyBorder="1" applyAlignment="1">
      <alignment vertical="center"/>
    </xf>
    <xf numFmtId="166" fontId="3" fillId="0" borderId="31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2" fillId="0" borderId="20" xfId="0" applyFont="1" applyBorder="1" applyAlignment="1">
      <alignment/>
    </xf>
    <xf numFmtId="10" fontId="2" fillId="0" borderId="26" xfId="0" applyNumberFormat="1" applyFont="1" applyFill="1" applyBorder="1" applyAlignment="1">
      <alignment vertical="center"/>
    </xf>
    <xf numFmtId="10" fontId="2" fillId="0" borderId="25" xfId="0" applyNumberFormat="1" applyFont="1" applyFill="1" applyBorder="1" applyAlignment="1">
      <alignment vertical="center"/>
    </xf>
    <xf numFmtId="10" fontId="2" fillId="0" borderId="27" xfId="0" applyNumberFormat="1" applyFont="1" applyFill="1" applyBorder="1" applyAlignment="1">
      <alignment vertical="center"/>
    </xf>
    <xf numFmtId="0" fontId="2" fillId="0" borderId="22" xfId="0" applyFont="1" applyBorder="1" applyAlignment="1">
      <alignment/>
    </xf>
    <xf numFmtId="10" fontId="2" fillId="0" borderId="35" xfId="0" applyNumberFormat="1" applyFont="1" applyFill="1" applyBorder="1" applyAlignment="1">
      <alignment vertical="center"/>
    </xf>
    <xf numFmtId="10" fontId="2" fillId="0" borderId="33" xfId="0" applyNumberFormat="1" applyFont="1" applyFill="1" applyBorder="1" applyAlignment="1">
      <alignment vertical="center"/>
    </xf>
    <xf numFmtId="10" fontId="2" fillId="0" borderId="34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2" fillId="0" borderId="49" xfId="0" applyFont="1" applyBorder="1" applyAlignment="1" applyProtection="1">
      <alignment vertical="center" wrapText="1"/>
      <protection locked="0"/>
    </xf>
    <xf numFmtId="0" fontId="27" fillId="0" borderId="49" xfId="0" applyFont="1" applyBorder="1" applyAlignment="1" applyProtection="1">
      <alignment horizontal="center" vertical="center" wrapText="1"/>
      <protection locked="0"/>
    </xf>
    <xf numFmtId="0" fontId="2" fillId="0" borderId="32" xfId="131" applyNumberFormat="1" applyFont="1" applyFill="1" applyBorder="1" applyAlignment="1">
      <alignment horizontal="center" vertical="center" shrinkToFit="1"/>
      <protection/>
    </xf>
    <xf numFmtId="0" fontId="2" fillId="0" borderId="30" xfId="131" applyNumberFormat="1" applyFont="1" applyFill="1" applyBorder="1" applyAlignment="1">
      <alignment horizontal="center" vertical="center" shrinkToFit="1"/>
      <protection/>
    </xf>
    <xf numFmtId="175" fontId="2" fillId="61" borderId="28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9" xfId="0" applyFont="1" applyFill="1" applyBorder="1" applyAlignment="1" applyProtection="1">
      <alignment vertical="center"/>
      <protection locked="0"/>
    </xf>
    <xf numFmtId="0" fontId="36" fillId="0" borderId="49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9" xfId="0" applyFont="1" applyBorder="1" applyAlignment="1" applyProtection="1">
      <alignment horizontal="left" vertical="center"/>
      <protection locked="0"/>
    </xf>
    <xf numFmtId="166" fontId="2" fillId="59" borderId="31" xfId="131" applyNumberFormat="1" applyFont="1" applyFill="1" applyBorder="1" applyAlignment="1" applyProtection="1">
      <alignment vertical="center" shrinkToFit="1"/>
      <protection/>
    </xf>
    <xf numFmtId="166" fontId="2" fillId="62" borderId="32" xfId="131" applyNumberFormat="1" applyFont="1" applyFill="1" applyBorder="1" applyAlignment="1" applyProtection="1">
      <alignment vertical="center" shrinkToFit="1"/>
      <protection/>
    </xf>
    <xf numFmtId="166" fontId="2" fillId="62" borderId="30" xfId="131" applyNumberFormat="1" applyFont="1" applyFill="1" applyBorder="1" applyAlignment="1" applyProtection="1">
      <alignment vertical="center" shrinkToFit="1"/>
      <protection/>
    </xf>
    <xf numFmtId="166" fontId="2" fillId="62" borderId="31" xfId="131" applyNumberFormat="1" applyFont="1" applyFill="1" applyBorder="1" applyAlignment="1" applyProtection="1">
      <alignment vertical="center" shrinkToFit="1"/>
      <protection/>
    </xf>
    <xf numFmtId="166" fontId="2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1" xfId="131" applyNumberFormat="1" applyFont="1" applyFill="1" applyBorder="1" applyAlignment="1" applyProtection="1">
      <alignment vertical="center" shrinkToFit="1"/>
      <protection/>
    </xf>
    <xf numFmtId="166" fontId="33" fillId="63" borderId="32" xfId="131" applyNumberFormat="1" applyFont="1" applyFill="1" applyBorder="1" applyAlignment="1" applyProtection="1">
      <alignment horizontal="right" vertical="center" shrinkToFit="1"/>
      <protection/>
    </xf>
    <xf numFmtId="166" fontId="33" fillId="63" borderId="30" xfId="131" applyNumberFormat="1" applyFont="1" applyFill="1" applyBorder="1" applyAlignment="1" applyProtection="1">
      <alignment horizontal="right" vertical="center" shrinkToFit="1"/>
      <protection/>
    </xf>
    <xf numFmtId="166" fontId="33" fillId="63" borderId="31" xfId="131" applyNumberFormat="1" applyFont="1" applyFill="1" applyBorder="1" applyAlignment="1" applyProtection="1">
      <alignment horizontal="right" vertical="center" shrinkToFit="1"/>
      <protection/>
    </xf>
    <xf numFmtId="166" fontId="3" fillId="62" borderId="32" xfId="131" applyNumberFormat="1" applyFont="1" applyFill="1" applyBorder="1" applyAlignment="1" applyProtection="1">
      <alignment vertical="center" shrinkToFit="1"/>
      <protection/>
    </xf>
    <xf numFmtId="166" fontId="3" fillId="62" borderId="30" xfId="131" applyNumberFormat="1" applyFont="1" applyFill="1" applyBorder="1" applyAlignment="1" applyProtection="1">
      <alignment vertical="center" shrinkToFit="1"/>
      <protection/>
    </xf>
    <xf numFmtId="166" fontId="3" fillId="62" borderId="31" xfId="131" applyNumberFormat="1" applyFont="1" applyFill="1" applyBorder="1" applyAlignment="1" applyProtection="1">
      <alignment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32" xfId="131" applyNumberFormat="1" applyFont="1" applyFill="1" applyBorder="1" applyAlignment="1" applyProtection="1">
      <alignment horizontal="center" vertical="center" shrinkToFit="1"/>
      <protection/>
    </xf>
    <xf numFmtId="166" fontId="3" fillId="0" borderId="30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166" fontId="34" fillId="63" borderId="32" xfId="131" applyNumberFormat="1" applyFont="1" applyFill="1" applyBorder="1" applyAlignment="1" applyProtection="1">
      <alignment vertical="center" shrinkToFit="1"/>
      <protection/>
    </xf>
    <xf numFmtId="166" fontId="34" fillId="63" borderId="30" xfId="131" applyNumberFormat="1" applyFont="1" applyFill="1" applyBorder="1" applyAlignment="1" applyProtection="1">
      <alignment vertical="center" shrinkToFit="1"/>
      <protection/>
    </xf>
    <xf numFmtId="166" fontId="34" fillId="63" borderId="31" xfId="131" applyNumberFormat="1" applyFont="1" applyFill="1" applyBorder="1" applyAlignment="1" applyProtection="1">
      <alignment vertical="center" shrinkToFit="1"/>
      <protection/>
    </xf>
    <xf numFmtId="166" fontId="2" fillId="59" borderId="34" xfId="131" applyNumberFormat="1" applyFont="1" applyFill="1" applyBorder="1" applyAlignment="1" applyProtection="1">
      <alignment vertical="center" shrinkToFit="1"/>
      <protection/>
    </xf>
    <xf numFmtId="166" fontId="2" fillId="62" borderId="35" xfId="131" applyNumberFormat="1" applyFont="1" applyFill="1" applyBorder="1" applyAlignment="1" applyProtection="1">
      <alignment vertical="center" shrinkToFit="1"/>
      <protection/>
    </xf>
    <xf numFmtId="166" fontId="2" fillId="62" borderId="33" xfId="131" applyNumberFormat="1" applyFont="1" applyFill="1" applyBorder="1" applyAlignment="1" applyProtection="1">
      <alignment vertical="center" shrinkToFit="1"/>
      <protection/>
    </xf>
    <xf numFmtId="166" fontId="2" fillId="62" borderId="34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5" fillId="0" borderId="0" xfId="0" applyFont="1" applyBorder="1" applyAlignment="1" applyProtection="1">
      <alignment vertical="center" wrapText="1"/>
      <protection/>
    </xf>
    <xf numFmtId="4" fontId="2" fillId="59" borderId="29" xfId="0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03" fillId="0" borderId="32" xfId="0" applyNumberFormat="1" applyFont="1" applyFill="1" applyBorder="1" applyAlignment="1">
      <alignment horizontal="center" vertical="center"/>
    </xf>
    <xf numFmtId="0" fontId="103" fillId="0" borderId="30" xfId="0" applyNumberFormat="1" applyFont="1" applyFill="1" applyBorder="1" applyAlignment="1">
      <alignment horizontal="center" vertical="center"/>
    </xf>
    <xf numFmtId="0" fontId="103" fillId="0" borderId="31" xfId="0" applyNumberFormat="1" applyFont="1" applyFill="1" applyBorder="1" applyAlignment="1">
      <alignment horizontal="center" vertical="center"/>
    </xf>
    <xf numFmtId="166" fontId="103" fillId="0" borderId="32" xfId="0" applyNumberFormat="1" applyFont="1" applyFill="1" applyBorder="1" applyAlignment="1">
      <alignment horizontal="center" vertical="center"/>
    </xf>
    <xf numFmtId="166" fontId="103" fillId="0" borderId="30" xfId="0" applyNumberFormat="1" applyFont="1" applyFill="1" applyBorder="1" applyAlignment="1">
      <alignment horizontal="center" vertical="center"/>
    </xf>
    <xf numFmtId="166" fontId="103" fillId="0" borderId="31" xfId="0" applyNumberFormat="1" applyFont="1" applyFill="1" applyBorder="1" applyAlignment="1">
      <alignment horizontal="center" vertical="center"/>
    </xf>
    <xf numFmtId="49" fontId="27" fillId="58" borderId="36" xfId="131" applyNumberFormat="1" applyFont="1" applyFill="1" applyBorder="1" applyAlignment="1">
      <alignment horizontal="center" vertical="center"/>
      <protection/>
    </xf>
    <xf numFmtId="49" fontId="27" fillId="58" borderId="39" xfId="131" applyNumberFormat="1" applyFont="1" applyFill="1" applyBorder="1" applyAlignment="1">
      <alignment horizontal="center" vertical="center"/>
      <protection/>
    </xf>
    <xf numFmtId="0" fontId="106" fillId="0" borderId="37" xfId="0" applyFont="1" applyBorder="1" applyAlignment="1">
      <alignment horizontal="left" vertical="center" wrapText="1"/>
    </xf>
    <xf numFmtId="0" fontId="106" fillId="0" borderId="37" xfId="0" applyFont="1" applyBorder="1" applyAlignment="1">
      <alignment vertical="center" wrapText="1"/>
    </xf>
    <xf numFmtId="0" fontId="107" fillId="0" borderId="40" xfId="0" applyFont="1" applyBorder="1" applyAlignment="1">
      <alignment horizontal="left" vertical="center"/>
    </xf>
    <xf numFmtId="0" fontId="107" fillId="0" borderId="40" xfId="0" applyFont="1" applyBorder="1" applyAlignment="1">
      <alignment horizontal="left" vertical="center" wrapText="1" indent="1"/>
    </xf>
    <xf numFmtId="0" fontId="107" fillId="0" borderId="40" xfId="0" applyFont="1" applyBorder="1" applyAlignment="1">
      <alignment horizontal="left" vertical="center" wrapText="1" indent="2"/>
    </xf>
    <xf numFmtId="0" fontId="107" fillId="0" borderId="40" xfId="0" applyFont="1" applyBorder="1" applyAlignment="1">
      <alignment horizontal="left" vertical="center" wrapText="1" indent="3"/>
    </xf>
    <xf numFmtId="0" fontId="115" fillId="0" borderId="42" xfId="134" applyFont="1" applyBorder="1" applyAlignment="1">
      <alignment vertical="center"/>
      <protection/>
    </xf>
    <xf numFmtId="0" fontId="115" fillId="0" borderId="39" xfId="134" applyFont="1" applyBorder="1" applyAlignment="1">
      <alignment vertical="center"/>
      <protection/>
    </xf>
    <xf numFmtId="0" fontId="115" fillId="0" borderId="43" xfId="134" applyFont="1" applyBorder="1" applyAlignment="1">
      <alignment vertical="center"/>
      <protection/>
    </xf>
    <xf numFmtId="0" fontId="115" fillId="0" borderId="40" xfId="134" applyFont="1" applyBorder="1" applyAlignment="1">
      <alignment vertical="center"/>
      <protection/>
    </xf>
    <xf numFmtId="0" fontId="115" fillId="0" borderId="44" xfId="134" applyFont="1" applyBorder="1" applyAlignment="1">
      <alignment vertical="center"/>
      <protection/>
    </xf>
    <xf numFmtId="0" fontId="115" fillId="0" borderId="48" xfId="134" applyFont="1" applyBorder="1" applyAlignment="1">
      <alignment vertical="center"/>
      <protection/>
    </xf>
    <xf numFmtId="0" fontId="65" fillId="0" borderId="42" xfId="134" applyFont="1" applyBorder="1" applyAlignment="1">
      <alignment vertical="center"/>
      <protection/>
    </xf>
    <xf numFmtId="0" fontId="65" fillId="0" borderId="39" xfId="134" applyFont="1" applyBorder="1" applyAlignment="1">
      <alignment vertical="center"/>
      <protection/>
    </xf>
    <xf numFmtId="0" fontId="65" fillId="0" borderId="43" xfId="134" applyFont="1" applyBorder="1" applyAlignment="1">
      <alignment vertical="center"/>
      <protection/>
    </xf>
    <xf numFmtId="0" fontId="65" fillId="0" borderId="40" xfId="134" applyFont="1" applyBorder="1" applyAlignment="1">
      <alignment vertical="center"/>
      <protection/>
    </xf>
    <xf numFmtId="0" fontId="65" fillId="0" borderId="44" xfId="134" applyFont="1" applyBorder="1" applyAlignment="1">
      <alignment vertical="center"/>
      <protection/>
    </xf>
    <xf numFmtId="0" fontId="65" fillId="0" borderId="48" xfId="134" applyFont="1" applyBorder="1" applyAlignment="1">
      <alignment vertical="center"/>
      <protection/>
    </xf>
    <xf numFmtId="0" fontId="106" fillId="0" borderId="37" xfId="0" applyFont="1" applyBorder="1" applyAlignment="1" applyProtection="1">
      <alignment horizontal="left" vertical="center" wrapText="1" indent="2"/>
      <protection locked="0"/>
    </xf>
    <xf numFmtId="0" fontId="107" fillId="0" borderId="48" xfId="0" applyFont="1" applyBorder="1" applyAlignment="1">
      <alignment horizontal="left" vertical="center" wrapText="1" indent="1"/>
    </xf>
    <xf numFmtId="0" fontId="66" fillId="0" borderId="43" xfId="134" applyFont="1" applyBorder="1" applyAlignment="1">
      <alignment vertical="center"/>
      <protection/>
    </xf>
    <xf numFmtId="0" fontId="116" fillId="0" borderId="43" xfId="134" applyFont="1" applyBorder="1" applyAlignment="1">
      <alignment vertical="center"/>
      <protection/>
    </xf>
    <xf numFmtId="4" fontId="2" fillId="59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6" fillId="0" borderId="40" xfId="0" applyFont="1" applyBorder="1" applyAlignment="1">
      <alignment horizontal="left" vertical="center"/>
    </xf>
    <xf numFmtId="0" fontId="107" fillId="0" borderId="48" xfId="0" applyFont="1" applyBorder="1" applyAlignment="1">
      <alignment horizontal="left" vertical="center"/>
    </xf>
    <xf numFmtId="0" fontId="116" fillId="0" borderId="40" xfId="134" applyFont="1" applyBorder="1" applyAlignment="1">
      <alignment vertical="center"/>
      <protection/>
    </xf>
    <xf numFmtId="0" fontId="66" fillId="0" borderId="40" xfId="134" applyFont="1" applyBorder="1" applyAlignment="1">
      <alignment vertical="center"/>
      <protection/>
    </xf>
    <xf numFmtId="0" fontId="102" fillId="0" borderId="0" xfId="0" applyFont="1" applyAlignment="1">
      <alignment horizontal="left" vertical="center"/>
    </xf>
    <xf numFmtId="10" fontId="2" fillId="59" borderId="24" xfId="0" applyNumberFormat="1" applyFont="1" applyFill="1" applyBorder="1" applyAlignment="1">
      <alignment horizontal="center" vertical="center"/>
    </xf>
    <xf numFmtId="10" fontId="2" fillId="59" borderId="25" xfId="0" applyNumberFormat="1" applyFont="1" applyFill="1" applyBorder="1" applyAlignment="1">
      <alignment horizontal="center" vertical="center"/>
    </xf>
    <xf numFmtId="10" fontId="2" fillId="59" borderId="27" xfId="0" applyNumberFormat="1" applyFont="1" applyFill="1" applyBorder="1" applyAlignment="1">
      <alignment horizontal="center" vertical="center"/>
    </xf>
    <xf numFmtId="10" fontId="2" fillId="59" borderId="29" xfId="0" applyNumberFormat="1" applyFont="1" applyFill="1" applyBorder="1" applyAlignment="1">
      <alignment horizontal="center" vertical="center"/>
    </xf>
    <xf numFmtId="10" fontId="2" fillId="59" borderId="33" xfId="0" applyNumberFormat="1" applyFont="1" applyFill="1" applyBorder="1" applyAlignment="1">
      <alignment horizontal="center" vertical="center"/>
    </xf>
    <xf numFmtId="10" fontId="2" fillId="59" borderId="34" xfId="0" applyNumberFormat="1" applyFont="1" applyFill="1" applyBorder="1" applyAlignment="1">
      <alignment horizontal="center" vertical="center"/>
    </xf>
    <xf numFmtId="169" fontId="3" fillId="59" borderId="24" xfId="0" applyNumberFormat="1" applyFont="1" applyFill="1" applyBorder="1" applyAlignment="1">
      <alignment horizontal="center" vertical="center"/>
    </xf>
    <xf numFmtId="169" fontId="2" fillId="59" borderId="28" xfId="0" applyNumberFormat="1" applyFont="1" applyFill="1" applyBorder="1" applyAlignment="1">
      <alignment horizontal="center" vertical="center"/>
    </xf>
    <xf numFmtId="169" fontId="2" fillId="59" borderId="28" xfId="0" applyNumberFormat="1" applyFont="1" applyFill="1" applyBorder="1" applyAlignment="1">
      <alignment horizontal="center" vertical="center" wrapText="1"/>
    </xf>
    <xf numFmtId="169" fontId="2" fillId="59" borderId="50" xfId="0" applyNumberFormat="1" applyFont="1" applyFill="1" applyBorder="1" applyAlignment="1">
      <alignment horizontal="center" vertical="center" wrapText="1"/>
    </xf>
    <xf numFmtId="169" fontId="3" fillId="59" borderId="28" xfId="0" applyNumberFormat="1" applyFont="1" applyFill="1" applyBorder="1" applyAlignment="1">
      <alignment horizontal="center" vertical="center"/>
    </xf>
    <xf numFmtId="169" fontId="2" fillId="59" borderId="29" xfId="0" applyNumberFormat="1" applyFont="1" applyFill="1" applyBorder="1" applyAlignment="1">
      <alignment horizontal="center" vertical="center" wrapText="1"/>
    </xf>
    <xf numFmtId="166" fontId="3" fillId="59" borderId="24" xfId="0" applyNumberFormat="1" applyFont="1" applyFill="1" applyBorder="1" applyAlignment="1">
      <alignment horizontal="center" vertical="center"/>
    </xf>
    <xf numFmtId="166" fontId="2" fillId="59" borderId="28" xfId="0" applyNumberFormat="1" applyFont="1" applyFill="1" applyBorder="1" applyAlignment="1">
      <alignment horizontal="center" vertical="center"/>
    </xf>
    <xf numFmtId="166" fontId="2" fillId="59" borderId="28" xfId="0" applyNumberFormat="1" applyFont="1" applyFill="1" applyBorder="1" applyAlignment="1">
      <alignment horizontal="center" vertical="center" wrapText="1"/>
    </xf>
    <xf numFmtId="166" fontId="2" fillId="59" borderId="29" xfId="0" applyNumberFormat="1" applyFont="1" applyFill="1" applyBorder="1" applyAlignment="1">
      <alignment horizontal="center" vertical="center" wrapText="1"/>
    </xf>
    <xf numFmtId="166" fontId="3" fillId="59" borderId="28" xfId="0" applyNumberFormat="1" applyFont="1" applyFill="1" applyBorder="1" applyAlignment="1">
      <alignment horizontal="center" vertical="center"/>
    </xf>
    <xf numFmtId="169" fontId="3" fillId="59" borderId="24" xfId="131" applyNumberFormat="1" applyFont="1" applyFill="1" applyBorder="1" applyAlignment="1">
      <alignment horizontal="center" vertical="center" wrapText="1"/>
      <protection/>
    </xf>
    <xf numFmtId="169" fontId="2" fillId="59" borderId="28" xfId="131" applyNumberFormat="1" applyFont="1" applyFill="1" applyBorder="1" applyAlignment="1">
      <alignment horizontal="center" vertical="center" wrapText="1"/>
      <protection/>
    </xf>
    <xf numFmtId="169" fontId="3" fillId="59" borderId="28" xfId="131" applyNumberFormat="1" applyFont="1" applyFill="1" applyBorder="1" applyAlignment="1">
      <alignment horizontal="center" vertical="center" wrapText="1"/>
      <protection/>
    </xf>
    <xf numFmtId="169" fontId="3" fillId="59" borderId="29" xfId="131" applyNumberFormat="1" applyFont="1" applyFill="1" applyBorder="1" applyAlignment="1">
      <alignment horizontal="center" vertical="center" wrapText="1"/>
      <protection/>
    </xf>
    <xf numFmtId="169" fontId="2" fillId="59" borderId="29" xfId="131" applyNumberFormat="1" applyFont="1" applyFill="1" applyBorder="1" applyAlignment="1">
      <alignment horizontal="center" vertical="center" wrapText="1"/>
      <protection/>
    </xf>
    <xf numFmtId="169" fontId="2" fillId="59" borderId="24" xfId="131" applyNumberFormat="1" applyFont="1" applyFill="1" applyBorder="1" applyAlignment="1">
      <alignment horizontal="center" vertical="center" wrapText="1"/>
      <protection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27" xfId="0" applyFont="1" applyFill="1" applyBorder="1" applyAlignment="1">
      <alignment horizontal="center" vertical="center" wrapText="1"/>
    </xf>
    <xf numFmtId="0" fontId="30" fillId="59" borderId="28" xfId="0" applyFont="1" applyFill="1" applyBorder="1" applyAlignment="1">
      <alignment horizontal="center" vertical="center" wrapText="1"/>
    </xf>
    <xf numFmtId="0" fontId="30" fillId="59" borderId="30" xfId="0" applyFont="1" applyFill="1" applyBorder="1" applyAlignment="1">
      <alignment horizontal="center" vertical="center" wrapText="1"/>
    </xf>
    <xf numFmtId="0" fontId="30" fillId="59" borderId="31" xfId="0" applyFont="1" applyFill="1" applyBorder="1" applyAlignment="1">
      <alignment horizontal="center" vertical="center" wrapText="1"/>
    </xf>
    <xf numFmtId="0" fontId="30" fillId="59" borderId="28" xfId="0" applyFont="1" applyFill="1" applyBorder="1" applyAlignment="1">
      <alignment horizontal="center" vertical="center"/>
    </xf>
    <xf numFmtId="0" fontId="30" fillId="59" borderId="29" xfId="0" applyFont="1" applyFill="1" applyBorder="1" applyAlignment="1">
      <alignment horizontal="center" vertical="center" wrapText="1"/>
    </xf>
    <xf numFmtId="0" fontId="30" fillId="59" borderId="33" xfId="0" applyFont="1" applyFill="1" applyBorder="1" applyAlignment="1">
      <alignment horizontal="center" vertical="center" wrapText="1"/>
    </xf>
    <xf numFmtId="0" fontId="30" fillId="59" borderId="34" xfId="0" applyFont="1" applyFill="1" applyBorder="1" applyAlignment="1">
      <alignment horizontal="center" vertical="center" wrapText="1"/>
    </xf>
    <xf numFmtId="4" fontId="2" fillId="59" borderId="30" xfId="0" applyNumberFormat="1" applyFont="1" applyFill="1" applyBorder="1" applyAlignment="1">
      <alignment horizontal="center" vertical="center"/>
    </xf>
    <xf numFmtId="4" fontId="2" fillId="59" borderId="33" xfId="0" applyNumberFormat="1" applyFont="1" applyFill="1" applyBorder="1" applyAlignment="1">
      <alignment horizontal="center" vertical="center"/>
    </xf>
    <xf numFmtId="0" fontId="3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 wrapText="1"/>
    </xf>
    <xf numFmtId="169" fontId="3" fillId="0" borderId="0" xfId="14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5" fontId="2" fillId="59" borderId="28" xfId="131" applyNumberFormat="1" applyFont="1" applyFill="1" applyBorder="1" applyAlignment="1" applyProtection="1">
      <alignment horizontal="center" vertical="center" shrinkToFit="1"/>
      <protection/>
    </xf>
    <xf numFmtId="175" fontId="2" fillId="59" borderId="30" xfId="131" applyNumberFormat="1" applyFont="1" applyFill="1" applyBorder="1" applyAlignment="1" applyProtection="1">
      <alignment horizontal="center" vertical="center" shrinkToFit="1"/>
      <protection/>
    </xf>
    <xf numFmtId="175" fontId="2" fillId="59" borderId="31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27" fillId="0" borderId="49" xfId="0" applyFont="1" applyBorder="1" applyAlignment="1" applyProtection="1">
      <alignment horizontal="center" vertical="center" wrapText="1"/>
      <protection locked="0"/>
    </xf>
    <xf numFmtId="0" fontId="8" fillId="0" borderId="49" xfId="0" applyFont="1" applyBorder="1" applyAlignment="1" applyProtection="1">
      <alignment vertical="top" wrapText="1"/>
      <protection locked="0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38"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ont>
        <b/>
        <i val="0"/>
      </font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rgb="FFFF0000"/>
      </font>
    </dxf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ont>
        <b/>
        <i val="0"/>
        <color rgb="FFFF0000"/>
      </font>
      <border/>
    </dxf>
    <dxf>
      <font>
        <b/>
        <i val="0"/>
      </font>
      <fill>
        <patternFill>
          <bgColor rgb="FFFF0000"/>
        </patternFill>
      </fill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1"/>
          <c:w val="0.913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'Zał.1_WPF_bazowy'!$I$18:$R$18</c:f>
              <c:numCache>
                <c:ptCount val="10"/>
                <c:pt idx="0">
                  <c:v>2718733</c:v>
                </c:pt>
                <c:pt idx="1">
                  <c:v>550000</c:v>
                </c:pt>
                <c:pt idx="2">
                  <c:v>879000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'Zał.1_WPF_bazowy'!$I$19:$S$19</c:f>
              <c:numCache>
                <c:ptCount val="11"/>
                <c:pt idx="0">
                  <c:v>1443196</c:v>
                </c:pt>
                <c:pt idx="1">
                  <c:v>550000</c:v>
                </c:pt>
                <c:pt idx="2">
                  <c:v>326000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0106986"/>
        <c:axId val="25418555"/>
      </c:lineChart>
      <c:catAx>
        <c:axId val="40106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18555"/>
        <c:crosses val="autoZero"/>
        <c:auto val="1"/>
        <c:lblOffset val="100"/>
        <c:tickLblSkip val="1"/>
        <c:noMultiLvlLbl val="0"/>
      </c:catAx>
      <c:valAx>
        <c:axId val="254185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0698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1"/>
          <c:w val="0.91325"/>
          <c:h val="0.820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'Zał.1_WPF_bazowy'!$D$44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'Zał.1_WPF_bazowy'!$I$44:$R$44</c:f>
              <c:numCache>
                <c:ptCount val="10"/>
                <c:pt idx="0">
                  <c:v>7019460</c:v>
                </c:pt>
                <c:pt idx="1">
                  <c:v>6984425</c:v>
                </c:pt>
                <c:pt idx="2">
                  <c:v>6610390</c:v>
                </c:pt>
                <c:pt idx="3">
                  <c:v>5695255</c:v>
                </c:pt>
                <c:pt idx="4">
                  <c:v>4780120</c:v>
                </c:pt>
                <c:pt idx="5">
                  <c:v>3914605</c:v>
                </c:pt>
                <c:pt idx="6">
                  <c:v>3139054</c:v>
                </c:pt>
                <c:pt idx="7">
                  <c:v>2557503</c:v>
                </c:pt>
                <c:pt idx="8">
                  <c:v>1840652</c:v>
                </c:pt>
                <c:pt idx="9">
                  <c:v>1123801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'Zał.1_WPF_bazowy'!$I$40:$R$40</c:f>
              <c:numCache>
                <c:ptCount val="10"/>
                <c:pt idx="0">
                  <c:v>835135</c:v>
                </c:pt>
                <c:pt idx="1">
                  <c:v>835135</c:v>
                </c:pt>
                <c:pt idx="2">
                  <c:v>875135</c:v>
                </c:pt>
                <c:pt idx="3">
                  <c:v>915135</c:v>
                </c:pt>
                <c:pt idx="4">
                  <c:v>915135</c:v>
                </c:pt>
                <c:pt idx="5">
                  <c:v>865515</c:v>
                </c:pt>
                <c:pt idx="6">
                  <c:v>775551</c:v>
                </c:pt>
                <c:pt idx="7">
                  <c:v>581551</c:v>
                </c:pt>
                <c:pt idx="8">
                  <c:v>716851</c:v>
                </c:pt>
                <c:pt idx="9">
                  <c:v>716851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'Zał.1_WPF_bazowy'!$I$26:$R$26</c:f>
              <c:numCache>
                <c:ptCount val="10"/>
                <c:pt idx="0">
                  <c:v>455000</c:v>
                </c:pt>
                <c:pt idx="1">
                  <c:v>407000</c:v>
                </c:pt>
                <c:pt idx="2">
                  <c:v>329000</c:v>
                </c:pt>
                <c:pt idx="3">
                  <c:v>326000</c:v>
                </c:pt>
                <c:pt idx="4">
                  <c:v>285000</c:v>
                </c:pt>
                <c:pt idx="5">
                  <c:v>244000</c:v>
                </c:pt>
                <c:pt idx="6">
                  <c:v>202000</c:v>
                </c:pt>
                <c:pt idx="7">
                  <c:v>163000</c:v>
                </c:pt>
                <c:pt idx="8">
                  <c:v>130000</c:v>
                </c:pt>
                <c:pt idx="9">
                  <c:v>90000</c:v>
                </c:pt>
              </c:numCache>
            </c:numRef>
          </c:val>
          <c:smooth val="0"/>
        </c:ser>
        <c:marker val="1"/>
        <c:axId val="57925348"/>
        <c:axId val="51566085"/>
      </c:lineChart>
      <c:catAx>
        <c:axId val="57925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66085"/>
        <c:crosses val="autoZero"/>
        <c:auto val="1"/>
        <c:lblOffset val="100"/>
        <c:tickLblSkip val="1"/>
        <c:noMultiLvlLbl val="0"/>
      </c:catAx>
      <c:valAx>
        <c:axId val="515660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2534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2925"/>
          <c:y val="0.01075"/>
          <c:w val="0.537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'Zał.1_WPF_bazowy'!$I$47:$R$47</c:f>
              <c:numCache>
                <c:ptCount val="10"/>
                <c:pt idx="0">
                  <c:v>0.3187</c:v>
                </c:pt>
                <c:pt idx="1">
                  <c:v>0.3519</c:v>
                </c:pt>
                <c:pt idx="2">
                  <c:v>0.3151</c:v>
                </c:pt>
                <c:pt idx="3">
                  <c:v>0.2751</c:v>
                </c:pt>
                <c:pt idx="4">
                  <c:v>0.2244</c:v>
                </c:pt>
                <c:pt idx="5">
                  <c:v>0.1787</c:v>
                </c:pt>
                <c:pt idx="6">
                  <c:v>0.1395</c:v>
                </c:pt>
                <c:pt idx="7">
                  <c:v>0.1112</c:v>
                </c:pt>
                <c:pt idx="8">
                  <c:v>0.0784</c:v>
                </c:pt>
                <c:pt idx="9">
                  <c:v>0.0469</c:v>
                </c:pt>
              </c:numCache>
            </c:numRef>
          </c:val>
          <c:smooth val="0"/>
        </c:ser>
        <c:marker val="1"/>
        <c:axId val="61441582"/>
        <c:axId val="16103327"/>
      </c:lineChart>
      <c:catAx>
        <c:axId val="61441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03327"/>
        <c:crosses val="autoZero"/>
        <c:auto val="1"/>
        <c:lblOffset val="100"/>
        <c:tickLblSkip val="1"/>
        <c:noMultiLvlLbl val="0"/>
      </c:catAx>
      <c:valAx>
        <c:axId val="161033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415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45"/>
          <c:y val="0.01075"/>
          <c:w val="0.906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1"/>
          <c:w val="0.913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('Zał.1_WPF_bazowy'!$E$9:$F$9,'Zał.1_WPF_bazowy'!$H$9:$R$9)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('Zał.1_WPF_bazowy'!$E$11:$F$11,'Zał.1_WPF_bazowy'!$H$11:$R$11)</c:f>
              <c:numCache>
                <c:ptCount val="10"/>
                <c:pt idx="0">
                  <c:v>19306623.34</c:v>
                </c:pt>
                <c:pt idx="1">
                  <c:v>19300045</c:v>
                </c:pt>
                <c:pt idx="2">
                  <c:v>20100000</c:v>
                </c:pt>
                <c:pt idx="3">
                  <c:v>20700000</c:v>
                </c:pt>
                <c:pt idx="4">
                  <c:v>21300000</c:v>
                </c:pt>
                <c:pt idx="5">
                  <c:v>21900000</c:v>
                </c:pt>
                <c:pt idx="6">
                  <c:v>22500000</c:v>
                </c:pt>
                <c:pt idx="7">
                  <c:v>23000000</c:v>
                </c:pt>
                <c:pt idx="8">
                  <c:v>23468000</c:v>
                </c:pt>
                <c:pt idx="9">
                  <c:v>23937000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('Zał.1_WPF_bazowy'!$E$9:$F$9,'Zał.1_WPF_bazowy'!$H$9:$R$9)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('Zał.1_WPF_bazowy'!$E$22:$F$22,'Zał.1_WPF_bazowy'!$H$22:$R$22)</c:f>
              <c:numCache>
                <c:ptCount val="10"/>
                <c:pt idx="0">
                  <c:v>19126038.34</c:v>
                </c:pt>
                <c:pt idx="1">
                  <c:v>18607000</c:v>
                </c:pt>
                <c:pt idx="2">
                  <c:v>18853975</c:v>
                </c:pt>
                <c:pt idx="3">
                  <c:v>19201000</c:v>
                </c:pt>
                <c:pt idx="4">
                  <c:v>19530000</c:v>
                </c:pt>
                <c:pt idx="5">
                  <c:v>19884000</c:v>
                </c:pt>
                <c:pt idx="6">
                  <c:v>20247000</c:v>
                </c:pt>
                <c:pt idx="7">
                  <c:v>20600000</c:v>
                </c:pt>
                <c:pt idx="8">
                  <c:v>20779000</c:v>
                </c:pt>
                <c:pt idx="9">
                  <c:v>20954000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10712216"/>
        <c:axId val="29301081"/>
      </c:lineChart>
      <c:catAx>
        <c:axId val="10712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01081"/>
        <c:crosses val="autoZero"/>
        <c:auto val="1"/>
        <c:lblOffset val="100"/>
        <c:tickLblSkip val="1"/>
        <c:noMultiLvlLbl val="0"/>
      </c:catAx>
      <c:valAx>
        <c:axId val="293010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1221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'Zał.1_WPF_bazowy'!$I$61:$R$61</c:f>
              <c:numCache>
                <c:ptCount val="10"/>
                <c:pt idx="0">
                  <c:v>0.1342</c:v>
                </c:pt>
                <c:pt idx="1">
                  <c:v>0.1193</c:v>
                </c:pt>
                <c:pt idx="2">
                  <c:v>0.0822</c:v>
                </c:pt>
                <c:pt idx="3">
                  <c:v>0.0704</c:v>
                </c:pt>
                <c:pt idx="4">
                  <c:v>0.07</c:v>
                </c:pt>
                <c:pt idx="5">
                  <c:v>0.0768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'Zał.1_WPF_bazowy'!$I$59:$R$59</c:f>
              <c:numCache>
                <c:ptCount val="10"/>
                <c:pt idx="0">
                  <c:v>0.0586</c:v>
                </c:pt>
                <c:pt idx="1">
                  <c:v>0.0626</c:v>
                </c:pt>
                <c:pt idx="2">
                  <c:v>0.0574</c:v>
                </c:pt>
                <c:pt idx="3">
                  <c:v>0.06</c:v>
                </c:pt>
                <c:pt idx="4">
                  <c:v>0.0563</c:v>
                </c:pt>
                <c:pt idx="5">
                  <c:v>0.0507</c:v>
                </c:pt>
                <c:pt idx="6">
                  <c:v>0.0434</c:v>
                </c:pt>
                <c:pt idx="7">
                  <c:v>0.0324</c:v>
                </c:pt>
                <c:pt idx="8">
                  <c:v>0.0361</c:v>
                </c:pt>
                <c:pt idx="9">
                  <c:v>0.0337</c:v>
                </c:pt>
              </c:numCache>
            </c:numRef>
          </c:val>
          <c:smooth val="0"/>
        </c:ser>
        <c:marker val="1"/>
        <c:axId val="62383138"/>
        <c:axId val="24577331"/>
      </c:lineChart>
      <c:catAx>
        <c:axId val="62383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77331"/>
        <c:crosses val="autoZero"/>
        <c:auto val="1"/>
        <c:lblOffset val="100"/>
        <c:tickLblSkip val="1"/>
        <c:noMultiLvlLbl val="0"/>
      </c:catAx>
      <c:valAx>
        <c:axId val="245773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831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'Zał.1_WPF_bazowy'!$I$62:$R$62</c:f>
              <c:numCache>
                <c:ptCount val="10"/>
                <c:pt idx="0">
                  <c:v>0.1399</c:v>
                </c:pt>
                <c:pt idx="1">
                  <c:v>0.125</c:v>
                </c:pt>
                <c:pt idx="2">
                  <c:v>0.0879</c:v>
                </c:pt>
                <c:pt idx="3">
                  <c:v>0.0704</c:v>
                </c:pt>
                <c:pt idx="4">
                  <c:v>0.07</c:v>
                </c:pt>
                <c:pt idx="5">
                  <c:v>0.0768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'Zał.1_WPF_bazowy'!$I$56:$R$56</c:f>
              <c:numCache>
                <c:ptCount val="10"/>
                <c:pt idx="0">
                  <c:v>0.0586</c:v>
                </c:pt>
                <c:pt idx="1">
                  <c:v>0.0626</c:v>
                </c:pt>
                <c:pt idx="2">
                  <c:v>0.0574</c:v>
                </c:pt>
                <c:pt idx="3">
                  <c:v>0.06</c:v>
                </c:pt>
                <c:pt idx="4">
                  <c:v>0.0563</c:v>
                </c:pt>
                <c:pt idx="5">
                  <c:v>0.0507</c:v>
                </c:pt>
                <c:pt idx="6">
                  <c:v>0.0434</c:v>
                </c:pt>
                <c:pt idx="7">
                  <c:v>0.0324</c:v>
                </c:pt>
                <c:pt idx="8">
                  <c:v>0.0361</c:v>
                </c:pt>
                <c:pt idx="9">
                  <c:v>0.0337</c:v>
                </c:pt>
              </c:numCache>
            </c:numRef>
          </c:val>
          <c:smooth val="0"/>
        </c:ser>
        <c:marker val="1"/>
        <c:axId val="19869388"/>
        <c:axId val="44606765"/>
      </c:lineChart>
      <c:catAx>
        <c:axId val="19869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06765"/>
        <c:crosses val="autoZero"/>
        <c:auto val="1"/>
        <c:lblOffset val="100"/>
        <c:tickLblSkip val="1"/>
        <c:noMultiLvlLbl val="0"/>
      </c:catAx>
      <c:valAx>
        <c:axId val="446067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693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'Zał.1_WPF_bazowy'!$I$62:$R$62</c:f>
              <c:numCache>
                <c:ptCount val="10"/>
                <c:pt idx="0">
                  <c:v>0.1399</c:v>
                </c:pt>
                <c:pt idx="1">
                  <c:v>0.125</c:v>
                </c:pt>
                <c:pt idx="2">
                  <c:v>0.0879</c:v>
                </c:pt>
                <c:pt idx="3">
                  <c:v>0.0704</c:v>
                </c:pt>
                <c:pt idx="4">
                  <c:v>0.07</c:v>
                </c:pt>
                <c:pt idx="5">
                  <c:v>0.0768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'Zał.1_WPF_bazowy'!$I$59:$R$59</c:f>
              <c:numCache>
                <c:ptCount val="10"/>
                <c:pt idx="0">
                  <c:v>0.0586</c:v>
                </c:pt>
                <c:pt idx="1">
                  <c:v>0.0626</c:v>
                </c:pt>
                <c:pt idx="2">
                  <c:v>0.0574</c:v>
                </c:pt>
                <c:pt idx="3">
                  <c:v>0.06</c:v>
                </c:pt>
                <c:pt idx="4">
                  <c:v>0.0563</c:v>
                </c:pt>
                <c:pt idx="5">
                  <c:v>0.0507</c:v>
                </c:pt>
                <c:pt idx="6">
                  <c:v>0.0434</c:v>
                </c:pt>
                <c:pt idx="7">
                  <c:v>0.0324</c:v>
                </c:pt>
                <c:pt idx="8">
                  <c:v>0.0361</c:v>
                </c:pt>
                <c:pt idx="9">
                  <c:v>0.0337</c:v>
                </c:pt>
              </c:numCache>
            </c:numRef>
          </c:val>
          <c:smooth val="0"/>
        </c:ser>
        <c:marker val="1"/>
        <c:axId val="65916566"/>
        <c:axId val="56378183"/>
      </c:lineChart>
      <c:catAx>
        <c:axId val="65916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78183"/>
        <c:crosses val="autoZero"/>
        <c:auto val="1"/>
        <c:lblOffset val="100"/>
        <c:tickLblSkip val="1"/>
        <c:noMultiLvlLbl val="0"/>
      </c:catAx>
      <c:valAx>
        <c:axId val="563781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165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'Zał.1_WPF_bazowy'!$I$55:$R$55</c:f>
              <c:numCache>
                <c:ptCount val="10"/>
                <c:pt idx="0">
                  <c:v>0.0586</c:v>
                </c:pt>
                <c:pt idx="1">
                  <c:v>0.0626</c:v>
                </c:pt>
                <c:pt idx="2">
                  <c:v>0.0574</c:v>
                </c:pt>
                <c:pt idx="3">
                  <c:v>0.06</c:v>
                </c:pt>
                <c:pt idx="4">
                  <c:v>0.0563</c:v>
                </c:pt>
                <c:pt idx="5">
                  <c:v>0.0507</c:v>
                </c:pt>
                <c:pt idx="6">
                  <c:v>0.0434</c:v>
                </c:pt>
                <c:pt idx="7">
                  <c:v>0.0324</c:v>
                </c:pt>
                <c:pt idx="8">
                  <c:v>0.0361</c:v>
                </c:pt>
                <c:pt idx="9">
                  <c:v>0.0337</c:v>
                </c:pt>
              </c:numCache>
            </c:numRef>
          </c:val>
          <c:smooth val="0"/>
        </c:ser>
        <c:marker val="1"/>
        <c:axId val="37641600"/>
        <c:axId val="3230081"/>
      </c:lineChart>
      <c:catAx>
        <c:axId val="37641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0081"/>
        <c:crosses val="autoZero"/>
        <c:auto val="1"/>
        <c:lblOffset val="100"/>
        <c:tickLblSkip val="1"/>
        <c:noMultiLvlLbl val="0"/>
      </c:catAx>
      <c:valAx>
        <c:axId val="32300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416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1"/>
          <c:w val="0.91325"/>
          <c:h val="0.82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'Zał.1_WPF_bazowy'!$I$11:$R$11</c:f>
              <c:numCache>
                <c:ptCount val="10"/>
                <c:pt idx="0">
                  <c:v>19306623.34</c:v>
                </c:pt>
                <c:pt idx="1">
                  <c:v>19300045</c:v>
                </c:pt>
                <c:pt idx="2">
                  <c:v>20100000</c:v>
                </c:pt>
                <c:pt idx="3">
                  <c:v>20700000</c:v>
                </c:pt>
                <c:pt idx="4">
                  <c:v>21300000</c:v>
                </c:pt>
                <c:pt idx="5">
                  <c:v>21900000</c:v>
                </c:pt>
                <c:pt idx="6">
                  <c:v>22500000</c:v>
                </c:pt>
                <c:pt idx="7">
                  <c:v>23000000</c:v>
                </c:pt>
                <c:pt idx="8">
                  <c:v>23468000</c:v>
                </c:pt>
                <c:pt idx="9">
                  <c:v>23937000</c:v>
                </c:pt>
              </c:numCache>
            </c:numRef>
          </c:val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'Zał.1_WPF_bazowy'!$I$18:$R$18</c:f>
              <c:numCache>
                <c:ptCount val="10"/>
                <c:pt idx="0">
                  <c:v>2718733</c:v>
                </c:pt>
                <c:pt idx="1">
                  <c:v>550000</c:v>
                </c:pt>
                <c:pt idx="2">
                  <c:v>879000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27440404"/>
        <c:axId val="45637045"/>
      </c:barChart>
      <c:catAx>
        <c:axId val="27440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37045"/>
        <c:crosses val="autoZero"/>
        <c:auto val="1"/>
        <c:lblOffset val="100"/>
        <c:tickLblSkip val="1"/>
        <c:noMultiLvlLbl val="0"/>
      </c:catAx>
      <c:valAx>
        <c:axId val="456370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4040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275"/>
          <c:y val="0.01075"/>
          <c:w val="0.210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1"/>
          <c:w val="0.91325"/>
          <c:h val="0.82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'Zał.1_WPF_bazowy'!$I$22:$R$22</c:f>
              <c:numCache>
                <c:ptCount val="10"/>
                <c:pt idx="0">
                  <c:v>19126038.34</c:v>
                </c:pt>
                <c:pt idx="1">
                  <c:v>18607000</c:v>
                </c:pt>
                <c:pt idx="2">
                  <c:v>18853975</c:v>
                </c:pt>
                <c:pt idx="3">
                  <c:v>19201000</c:v>
                </c:pt>
                <c:pt idx="4">
                  <c:v>19530000</c:v>
                </c:pt>
                <c:pt idx="5">
                  <c:v>19884000</c:v>
                </c:pt>
                <c:pt idx="6">
                  <c:v>20247000</c:v>
                </c:pt>
                <c:pt idx="7">
                  <c:v>20600000</c:v>
                </c:pt>
                <c:pt idx="8">
                  <c:v>20779000</c:v>
                </c:pt>
                <c:pt idx="9">
                  <c:v>20954000</c:v>
                </c:pt>
              </c:numCache>
            </c:numRef>
          </c:val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'Zał.1_WPF_bazowy'!$I$28:$R$28</c:f>
              <c:numCache>
                <c:ptCount val="10"/>
                <c:pt idx="0">
                  <c:v>2561060</c:v>
                </c:pt>
                <c:pt idx="1">
                  <c:v>1208010</c:v>
                </c:pt>
                <c:pt idx="2">
                  <c:v>1750990</c:v>
                </c:pt>
                <c:pt idx="3">
                  <c:v>583865</c:v>
                </c:pt>
                <c:pt idx="4">
                  <c:v>854865</c:v>
                </c:pt>
                <c:pt idx="5">
                  <c:v>1150485</c:v>
                </c:pt>
                <c:pt idx="6">
                  <c:v>1477449</c:v>
                </c:pt>
                <c:pt idx="7">
                  <c:v>1818449</c:v>
                </c:pt>
                <c:pt idx="8">
                  <c:v>1972149</c:v>
                </c:pt>
                <c:pt idx="9">
                  <c:v>2266149</c:v>
                </c:pt>
              </c:numCache>
            </c:numRef>
          </c:val>
        </c:ser>
        <c:overlap val="100"/>
        <c:axId val="8080222"/>
        <c:axId val="5613135"/>
      </c:barChart>
      <c:catAx>
        <c:axId val="808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3135"/>
        <c:crosses val="autoZero"/>
        <c:auto val="1"/>
        <c:lblOffset val="100"/>
        <c:tickLblSkip val="1"/>
        <c:noMultiLvlLbl val="0"/>
      </c:catAx>
      <c:valAx>
        <c:axId val="56131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8022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275"/>
          <c:y val="0.01075"/>
          <c:w val="0.210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1"/>
          <c:w val="0.913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'Zał.1_WPF_bazowy'!$I$68:$R$68</c:f>
              <c:numCache>
                <c:ptCount val="10"/>
                <c:pt idx="0">
                  <c:v>7698600.8</c:v>
                </c:pt>
                <c:pt idx="1">
                  <c:v>7861000</c:v>
                </c:pt>
                <c:pt idx="2">
                  <c:v>8019000</c:v>
                </c:pt>
                <c:pt idx="3">
                  <c:v>8179000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'Zał.1_WPF_bazowy'!$I$69:$R$69</c:f>
              <c:numCache>
                <c:ptCount val="10"/>
                <c:pt idx="0">
                  <c:v>1704850</c:v>
                </c:pt>
                <c:pt idx="1">
                  <c:v>1738000</c:v>
                </c:pt>
                <c:pt idx="2">
                  <c:v>1765000</c:v>
                </c:pt>
                <c:pt idx="3">
                  <c:v>1793000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0518216"/>
        <c:axId val="52010761"/>
      </c:lineChart>
      <c:catAx>
        <c:axId val="50518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10761"/>
        <c:crosses val="autoZero"/>
        <c:auto val="1"/>
        <c:lblOffset val="100"/>
        <c:tickLblSkip val="1"/>
        <c:noMultiLvlLbl val="0"/>
      </c:catAx>
      <c:valAx>
        <c:axId val="520107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1821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Wydatki na przedsięwzięcia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5425"/>
          <c:w val="0.91325"/>
          <c:h val="0.706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'Zał.1_WPF_bazowy'!$I$71:$R$71</c:f>
              <c:numCache>
                <c:ptCount val="10"/>
                <c:pt idx="0">
                  <c:v>274992</c:v>
                </c:pt>
                <c:pt idx="1">
                  <c:v>97369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'Zał.1_WPF_bazowy'!$I$72:$R$72</c:f>
              <c:numCache>
                <c:ptCount val="10"/>
                <c:pt idx="0">
                  <c:v>0</c:v>
                </c:pt>
                <c:pt idx="1">
                  <c:v>1208010</c:v>
                </c:pt>
                <c:pt idx="2">
                  <c:v>1750990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5443666"/>
        <c:axId val="52122083"/>
      </c:lineChart>
      <c:catAx>
        <c:axId val="65443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22083"/>
        <c:crosses val="autoZero"/>
        <c:auto val="1"/>
        <c:lblOffset val="100"/>
        <c:tickLblSkip val="1"/>
        <c:noMultiLvlLbl val="0"/>
      </c:catAx>
      <c:valAx>
        <c:axId val="521220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4366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12225"/>
          <c:w val="0.312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1"/>
          <c:w val="0.91325"/>
          <c:h val="0.820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'Zał.1_WPF_bazowy'!$I$40:$R$40</c:f>
              <c:numCache>
                <c:ptCount val="10"/>
                <c:pt idx="0">
                  <c:v>835135</c:v>
                </c:pt>
                <c:pt idx="1">
                  <c:v>835135</c:v>
                </c:pt>
                <c:pt idx="2">
                  <c:v>875135</c:v>
                </c:pt>
                <c:pt idx="3">
                  <c:v>915135</c:v>
                </c:pt>
                <c:pt idx="4">
                  <c:v>915135</c:v>
                </c:pt>
                <c:pt idx="5">
                  <c:v>865515</c:v>
                </c:pt>
                <c:pt idx="6">
                  <c:v>775551</c:v>
                </c:pt>
                <c:pt idx="7">
                  <c:v>581551</c:v>
                </c:pt>
                <c:pt idx="8">
                  <c:v>716851</c:v>
                </c:pt>
                <c:pt idx="9">
                  <c:v>716851</c:v>
                </c:pt>
              </c:numCache>
            </c:numRef>
          </c:val>
        </c:ser>
        <c:ser>
          <c:idx val="0"/>
          <c:order val="2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'Zał.1_WPF_bazowy'!$I$28:$R$28</c:f>
              <c:numCache>
                <c:ptCount val="10"/>
                <c:pt idx="0">
                  <c:v>2561060</c:v>
                </c:pt>
                <c:pt idx="1">
                  <c:v>1208010</c:v>
                </c:pt>
                <c:pt idx="2">
                  <c:v>1750990</c:v>
                </c:pt>
                <c:pt idx="3">
                  <c:v>583865</c:v>
                </c:pt>
                <c:pt idx="4">
                  <c:v>854865</c:v>
                </c:pt>
                <c:pt idx="5">
                  <c:v>1150485</c:v>
                </c:pt>
                <c:pt idx="6">
                  <c:v>1477449</c:v>
                </c:pt>
                <c:pt idx="7">
                  <c:v>1818449</c:v>
                </c:pt>
                <c:pt idx="8">
                  <c:v>1972149</c:v>
                </c:pt>
                <c:pt idx="9">
                  <c:v>2266149</c:v>
                </c:pt>
              </c:numCache>
            </c:numRef>
          </c:val>
        </c:ser>
        <c:overlap val="100"/>
        <c:axId val="66445564"/>
        <c:axId val="61139165"/>
      </c:barChar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'Zał.1_WPF_bazowy'!$I$51:$R$51</c:f>
              <c:numCache>
                <c:ptCount val="10"/>
                <c:pt idx="0">
                  <c:v>180585</c:v>
                </c:pt>
                <c:pt idx="1">
                  <c:v>693045</c:v>
                </c:pt>
                <c:pt idx="2">
                  <c:v>1246025</c:v>
                </c:pt>
                <c:pt idx="3">
                  <c:v>1499000</c:v>
                </c:pt>
                <c:pt idx="4">
                  <c:v>1770000</c:v>
                </c:pt>
                <c:pt idx="5">
                  <c:v>2016000</c:v>
                </c:pt>
                <c:pt idx="6">
                  <c:v>2253000</c:v>
                </c:pt>
                <c:pt idx="7">
                  <c:v>2400000</c:v>
                </c:pt>
                <c:pt idx="8">
                  <c:v>2689000</c:v>
                </c:pt>
                <c:pt idx="9">
                  <c:v>2983000</c:v>
                </c:pt>
              </c:numCache>
            </c:numRef>
          </c:val>
          <c:smooth val="0"/>
        </c:ser>
        <c:axId val="66445564"/>
        <c:axId val="61139165"/>
      </c:lineChart>
      <c:catAx>
        <c:axId val="66445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39165"/>
        <c:crosses val="autoZero"/>
        <c:auto val="1"/>
        <c:lblOffset val="100"/>
        <c:tickLblSkip val="1"/>
        <c:noMultiLvlLbl val="0"/>
      </c:catAx>
      <c:valAx>
        <c:axId val="611391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4556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55"/>
          <c:y val="0.01075"/>
          <c:w val="0.46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3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'Zał.1_WPF_bazowy'!$I$47:$R$47</c:f>
              <c:numCache>
                <c:ptCount val="10"/>
                <c:pt idx="0">
                  <c:v>0.3187</c:v>
                </c:pt>
                <c:pt idx="1">
                  <c:v>0.3519</c:v>
                </c:pt>
                <c:pt idx="2">
                  <c:v>0.3151</c:v>
                </c:pt>
                <c:pt idx="3">
                  <c:v>0.2751</c:v>
                </c:pt>
                <c:pt idx="4">
                  <c:v>0.2244</c:v>
                </c:pt>
                <c:pt idx="5">
                  <c:v>0.1787</c:v>
                </c:pt>
                <c:pt idx="6">
                  <c:v>0.1395</c:v>
                </c:pt>
                <c:pt idx="7">
                  <c:v>0.1112</c:v>
                </c:pt>
                <c:pt idx="8">
                  <c:v>0.0784</c:v>
                </c:pt>
                <c:pt idx="9">
                  <c:v>0.0469</c:v>
                </c:pt>
              </c:numCache>
            </c:numRef>
          </c:val>
          <c:smooth val="0"/>
        </c:ser>
        <c:marker val="1"/>
        <c:axId val="13381574"/>
        <c:axId val="53325303"/>
      </c:lineChart>
      <c:catAx>
        <c:axId val="1338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25303"/>
        <c:crosses val="autoZero"/>
        <c:auto val="1"/>
        <c:lblOffset val="100"/>
        <c:tickLblSkip val="1"/>
        <c:noMultiLvlLbl val="0"/>
      </c:catAx>
      <c:valAx>
        <c:axId val="533253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81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205"/>
          <c:y val="0.01075"/>
          <c:w val="0.15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'Zał.1_WPF_bazowy'!$I$54:$R$54</c:f>
              <c:numCache>
                <c:ptCount val="10"/>
                <c:pt idx="0">
                  <c:v>0.0586</c:v>
                </c:pt>
                <c:pt idx="1">
                  <c:v>0.0626</c:v>
                </c:pt>
                <c:pt idx="2">
                  <c:v>0.0574</c:v>
                </c:pt>
                <c:pt idx="3">
                  <c:v>0.06</c:v>
                </c:pt>
                <c:pt idx="4">
                  <c:v>0.0563</c:v>
                </c:pt>
                <c:pt idx="5">
                  <c:v>0.0507</c:v>
                </c:pt>
                <c:pt idx="6">
                  <c:v>0.0434</c:v>
                </c:pt>
                <c:pt idx="7">
                  <c:v>0.0324</c:v>
                </c:pt>
                <c:pt idx="8">
                  <c:v>0.0361</c:v>
                </c:pt>
                <c:pt idx="9">
                  <c:v>0.0337</c:v>
                </c:pt>
              </c:numCache>
            </c:numRef>
          </c:val>
          <c:smooth val="0"/>
        </c:ser>
        <c:marker val="1"/>
        <c:axId val="10165680"/>
        <c:axId val="24382257"/>
      </c:lineChart>
      <c:catAx>
        <c:axId val="10165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82257"/>
        <c:crosses val="autoZero"/>
        <c:auto val="1"/>
        <c:lblOffset val="100"/>
        <c:tickLblSkip val="1"/>
        <c:noMultiLvlLbl val="0"/>
      </c:catAx>
      <c:valAx>
        <c:axId val="243822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656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'Zał.1_WPF_bazowy'!$I$61:$R$61</c:f>
              <c:numCache>
                <c:ptCount val="10"/>
                <c:pt idx="0">
                  <c:v>0.1342</c:v>
                </c:pt>
                <c:pt idx="1">
                  <c:v>0.1193</c:v>
                </c:pt>
                <c:pt idx="2">
                  <c:v>0.0822</c:v>
                </c:pt>
                <c:pt idx="3">
                  <c:v>0.0704</c:v>
                </c:pt>
                <c:pt idx="4">
                  <c:v>0.07</c:v>
                </c:pt>
                <c:pt idx="5">
                  <c:v>0.0768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'Zał.1_WPF_bazowy'!$I$56:$R$56</c:f>
              <c:numCache>
                <c:ptCount val="10"/>
                <c:pt idx="0">
                  <c:v>0.0586</c:v>
                </c:pt>
                <c:pt idx="1">
                  <c:v>0.0626</c:v>
                </c:pt>
                <c:pt idx="2">
                  <c:v>0.0574</c:v>
                </c:pt>
                <c:pt idx="3">
                  <c:v>0.06</c:v>
                </c:pt>
                <c:pt idx="4">
                  <c:v>0.0563</c:v>
                </c:pt>
                <c:pt idx="5">
                  <c:v>0.0507</c:v>
                </c:pt>
                <c:pt idx="6">
                  <c:v>0.0434</c:v>
                </c:pt>
                <c:pt idx="7">
                  <c:v>0.0324</c:v>
                </c:pt>
                <c:pt idx="8">
                  <c:v>0.0361</c:v>
                </c:pt>
                <c:pt idx="9">
                  <c:v>0.0337</c:v>
                </c:pt>
              </c:numCache>
            </c:numRef>
          </c:val>
          <c:smooth val="0"/>
        </c:ser>
        <c:marker val="1"/>
        <c:axId val="18113722"/>
        <c:axId val="28805771"/>
      </c:lineChart>
      <c:catAx>
        <c:axId val="18113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05771"/>
        <c:crosses val="autoZero"/>
        <c:auto val="1"/>
        <c:lblOffset val="100"/>
        <c:tickLblSkip val="1"/>
        <c:noMultiLvlLbl val="0"/>
      </c:catAx>
      <c:valAx>
        <c:axId val="288057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137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581025</xdr:colOff>
      <xdr:row>97</xdr:row>
      <xdr:rowOff>85725</xdr:rowOff>
    </xdr:to>
    <xdr:graphicFrame>
      <xdr:nvGraphicFramePr>
        <xdr:cNvPr id="7" name="Wykres 8"/>
        <xdr:cNvGraphicFramePr/>
      </xdr:nvGraphicFramePr>
      <xdr:xfrm>
        <a:off x="9525" y="149066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581025</xdr:colOff>
      <xdr:row>81</xdr:row>
      <xdr:rowOff>95250</xdr:rowOff>
    </xdr:to>
    <xdr:graphicFrame>
      <xdr:nvGraphicFramePr>
        <xdr:cNvPr id="8" name="Wykres 9"/>
        <xdr:cNvGraphicFramePr/>
      </xdr:nvGraphicFramePr>
      <xdr:xfrm>
        <a:off x="9525" y="1202055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99</xdr:row>
      <xdr:rowOff>57150</xdr:rowOff>
    </xdr:from>
    <xdr:to>
      <xdr:col>6</xdr:col>
      <xdr:colOff>581025</xdr:colOff>
      <xdr:row>114</xdr:row>
      <xdr:rowOff>85725</xdr:rowOff>
    </xdr:to>
    <xdr:graphicFrame>
      <xdr:nvGraphicFramePr>
        <xdr:cNvPr id="9" name="Wykres 10"/>
        <xdr:cNvGraphicFramePr/>
      </xdr:nvGraphicFramePr>
      <xdr:xfrm>
        <a:off x="9525" y="17992725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10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200025</xdr:colOff>
      <xdr:row>82</xdr:row>
      <xdr:rowOff>38100</xdr:rowOff>
    </xdr:from>
    <xdr:to>
      <xdr:col>13</xdr:col>
      <xdr:colOff>752475</xdr:colOff>
      <xdr:row>97</xdr:row>
      <xdr:rowOff>66675</xdr:rowOff>
    </xdr:to>
    <xdr:graphicFrame>
      <xdr:nvGraphicFramePr>
        <xdr:cNvPr id="11" name="Wykres 8"/>
        <xdr:cNvGraphicFramePr/>
      </xdr:nvGraphicFramePr>
      <xdr:xfrm>
        <a:off x="6000750" y="14887575"/>
        <a:ext cx="558165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12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228600</xdr:colOff>
      <xdr:row>99</xdr:row>
      <xdr:rowOff>66675</xdr:rowOff>
    </xdr:from>
    <xdr:to>
      <xdr:col>13</xdr:col>
      <xdr:colOff>790575</xdr:colOff>
      <xdr:row>114</xdr:row>
      <xdr:rowOff>95250</xdr:rowOff>
    </xdr:to>
    <xdr:graphicFrame>
      <xdr:nvGraphicFramePr>
        <xdr:cNvPr id="13" name="Wykres 10"/>
        <xdr:cNvGraphicFramePr/>
      </xdr:nvGraphicFramePr>
      <xdr:xfrm>
        <a:off x="6029325" y="18002250"/>
        <a:ext cx="5591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116</xdr:row>
      <xdr:rowOff>95250</xdr:rowOff>
    </xdr:from>
    <xdr:to>
      <xdr:col>6</xdr:col>
      <xdr:colOff>571500</xdr:colOff>
      <xdr:row>131</xdr:row>
      <xdr:rowOff>123825</xdr:rowOff>
    </xdr:to>
    <xdr:graphicFrame>
      <xdr:nvGraphicFramePr>
        <xdr:cNvPr id="14" name="Wykres 10"/>
        <xdr:cNvGraphicFramePr/>
      </xdr:nvGraphicFramePr>
      <xdr:xfrm>
        <a:off x="0" y="21116925"/>
        <a:ext cx="56007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219075</xdr:colOff>
      <xdr:row>116</xdr:row>
      <xdr:rowOff>114300</xdr:rowOff>
    </xdr:from>
    <xdr:to>
      <xdr:col>13</xdr:col>
      <xdr:colOff>781050</xdr:colOff>
      <xdr:row>131</xdr:row>
      <xdr:rowOff>142875</xdr:rowOff>
    </xdr:to>
    <xdr:graphicFrame>
      <xdr:nvGraphicFramePr>
        <xdr:cNvPr id="15" name="Wykres 10"/>
        <xdr:cNvGraphicFramePr/>
      </xdr:nvGraphicFramePr>
      <xdr:xfrm>
        <a:off x="6019800" y="21135975"/>
        <a:ext cx="5591175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228600</xdr:colOff>
      <xdr:row>66</xdr:row>
      <xdr:rowOff>57150</xdr:rowOff>
    </xdr:from>
    <xdr:to>
      <xdr:col>13</xdr:col>
      <xdr:colOff>790575</xdr:colOff>
      <xdr:row>81</xdr:row>
      <xdr:rowOff>85725</xdr:rowOff>
    </xdr:to>
    <xdr:graphicFrame>
      <xdr:nvGraphicFramePr>
        <xdr:cNvPr id="16" name="Wykres 9"/>
        <xdr:cNvGraphicFramePr/>
      </xdr:nvGraphicFramePr>
      <xdr:xfrm>
        <a:off x="6029325" y="12011025"/>
        <a:ext cx="5591175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T254"/>
  <sheetViews>
    <sheetView zoomScale="72" zoomScaleNormal="72" zoomScaleSheetLayoutView="100" zoomScalePageLayoutView="0" workbookViewId="0" topLeftCell="A1">
      <pane xSplit="4" ySplit="9" topLeftCell="I257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P261" sqref="P261"/>
    </sheetView>
  </sheetViews>
  <sheetFormatPr defaultColWidth="8.796875" defaultRowHeight="14.25" outlineLevelRow="3" outlineLevelCol="1"/>
  <cols>
    <col min="1" max="1" width="4.19921875" style="374" hidden="1" customWidth="1" outlineLevel="1"/>
    <col min="2" max="2" width="6.59765625" style="1" customWidth="1" collapsed="1"/>
    <col min="3" max="3" width="7.19921875" style="1" hidden="1" customWidth="1"/>
    <col min="4" max="4" width="70.59765625" style="1" customWidth="1"/>
    <col min="5" max="8" width="14" style="1" hidden="1" customWidth="1" outlineLevel="1"/>
    <col min="9" max="9" width="10.8984375" style="1" customWidth="1" collapsed="1"/>
    <col min="10" max="20" width="10.8984375" style="1" customWidth="1"/>
  </cols>
  <sheetData>
    <row r="1" spans="2:20" ht="14.25">
      <c r="B1" s="168" t="s">
        <v>425</v>
      </c>
      <c r="C1" s="168"/>
      <c r="D1" s="120"/>
      <c r="E1" s="119"/>
      <c r="F1" s="119"/>
      <c r="G1" s="119"/>
      <c r="H1" s="119"/>
      <c r="I1" s="121" t="s">
        <v>277</v>
      </c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2:20" ht="15">
      <c r="B2" s="169" t="s">
        <v>424</v>
      </c>
      <c r="C2" s="169"/>
      <c r="D2" s="170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2:20" ht="14.25">
      <c r="B3" s="120"/>
      <c r="C3" s="120"/>
      <c r="D3" s="120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</row>
    <row r="4" spans="2:20" ht="15">
      <c r="B4" s="119"/>
      <c r="C4" s="119"/>
      <c r="D4" s="121"/>
      <c r="E4" s="119"/>
      <c r="F4" s="119"/>
      <c r="G4" s="119"/>
      <c r="H4" s="119"/>
      <c r="I4" s="172" t="s">
        <v>432</v>
      </c>
      <c r="J4" s="125" t="s">
        <v>505</v>
      </c>
      <c r="K4" s="119"/>
      <c r="L4" s="119"/>
      <c r="M4" s="119"/>
      <c r="N4" s="119"/>
      <c r="O4" s="119"/>
      <c r="P4" s="119"/>
      <c r="Q4" s="119"/>
      <c r="R4" s="119"/>
      <c r="S4" s="119"/>
      <c r="T4" s="119"/>
    </row>
    <row r="5" spans="5:20" ht="15">
      <c r="E5" s="132"/>
      <c r="F5" s="159"/>
      <c r="G5" s="173"/>
      <c r="H5" s="132"/>
      <c r="I5" s="124" t="s">
        <v>17</v>
      </c>
      <c r="J5" s="58" t="str">
        <f>DaneZrodlowe!C4</f>
        <v>KLESZCZEWO</v>
      </c>
      <c r="K5" s="132"/>
      <c r="L5" s="119"/>
      <c r="M5" s="132"/>
      <c r="N5" s="171"/>
      <c r="O5" s="171"/>
      <c r="P5" s="119"/>
      <c r="Q5" s="119"/>
      <c r="R5" s="119"/>
      <c r="S5" s="119"/>
      <c r="T5" s="119"/>
    </row>
    <row r="6" spans="5:20" ht="15">
      <c r="E6" s="415" t="s">
        <v>471</v>
      </c>
      <c r="F6" s="415" t="s">
        <v>472</v>
      </c>
      <c r="G6" s="415" t="s">
        <v>475</v>
      </c>
      <c r="H6" s="415" t="s">
        <v>473</v>
      </c>
      <c r="I6" s="130" t="s">
        <v>18</v>
      </c>
      <c r="J6" s="59" t="str">
        <f>CONCATENATE(DaneZrodlowe!M1," - ",DaneZrodlowe!P1)</f>
        <v>2013 - 2024</v>
      </c>
      <c r="K6" s="132"/>
      <c r="L6" s="118"/>
      <c r="M6" s="132"/>
      <c r="N6" s="171"/>
      <c r="O6" s="171"/>
      <c r="P6" s="119"/>
      <c r="Q6" s="119"/>
      <c r="R6" s="119"/>
      <c r="S6" s="119"/>
      <c r="T6" s="119"/>
    </row>
    <row r="7" spans="5:20" ht="14.25">
      <c r="E7" s="415"/>
      <c r="F7" s="415"/>
      <c r="G7" s="415"/>
      <c r="H7" s="415"/>
      <c r="K7" s="132"/>
      <c r="L7" s="119"/>
      <c r="M7" s="119"/>
      <c r="N7" s="119"/>
      <c r="O7" s="119"/>
      <c r="P7" s="119"/>
      <c r="Q7" s="119"/>
      <c r="R7" s="119"/>
      <c r="S7" s="119"/>
      <c r="T7" s="119"/>
    </row>
    <row r="8" spans="2:20" ht="73.5" customHeight="1">
      <c r="B8" s="119"/>
      <c r="C8" s="119"/>
      <c r="D8" s="132"/>
      <c r="E8" s="423" t="s">
        <v>438</v>
      </c>
      <c r="F8" s="423"/>
      <c r="G8" s="298" t="s">
        <v>437</v>
      </c>
      <c r="H8" s="298" t="s">
        <v>438</v>
      </c>
      <c r="I8" s="306" t="s">
        <v>507</v>
      </c>
      <c r="J8" s="297"/>
      <c r="K8" s="297"/>
      <c r="L8" s="297"/>
      <c r="M8" s="297"/>
      <c r="N8" s="119"/>
      <c r="O8" s="119"/>
      <c r="P8" s="119"/>
      <c r="Q8" s="119"/>
      <c r="R8" s="424" t="s">
        <v>506</v>
      </c>
      <c r="S8" s="424"/>
      <c r="T8" s="119"/>
    </row>
    <row r="9" spans="1:20" ht="14.25">
      <c r="A9" s="379" t="s">
        <v>470</v>
      </c>
      <c r="B9" s="39" t="s">
        <v>0</v>
      </c>
      <c r="C9" s="350"/>
      <c r="D9" s="349" t="s">
        <v>1</v>
      </c>
      <c r="E9" s="84" t="s">
        <v>434</v>
      </c>
      <c r="F9" s="43" t="s">
        <v>435</v>
      </c>
      <c r="G9" s="43" t="s">
        <v>436</v>
      </c>
      <c r="H9" s="44" t="s">
        <v>436</v>
      </c>
      <c r="I9" s="42">
        <f>+definicja!E9</f>
        <v>2013</v>
      </c>
      <c r="J9" s="40">
        <f>+definicja!F9</f>
        <v>2014</v>
      </c>
      <c r="K9" s="40">
        <f>+definicja!G9</f>
        <v>2015</v>
      </c>
      <c r="L9" s="40">
        <f>+definicja!H9</f>
        <v>2016</v>
      </c>
      <c r="M9" s="40">
        <f>+definicja!I9</f>
        <v>2017</v>
      </c>
      <c r="N9" s="40">
        <f>+definicja!J9</f>
        <v>2018</v>
      </c>
      <c r="O9" s="40">
        <f>+definicja!K9</f>
        <v>2019</v>
      </c>
      <c r="P9" s="40">
        <f>+definicja!L9</f>
        <v>2020</v>
      </c>
      <c r="Q9" s="40">
        <f>+definicja!M9</f>
        <v>2021</v>
      </c>
      <c r="R9" s="40">
        <f>+definicja!N9</f>
        <v>2022</v>
      </c>
      <c r="S9" s="40">
        <f>+definicja!O9</f>
        <v>2023</v>
      </c>
      <c r="T9" s="40">
        <f>+definicja!P9</f>
        <v>2024</v>
      </c>
    </row>
    <row r="10" spans="1:20" ht="15" customHeight="1" outlineLevel="1">
      <c r="A10" s="374" t="s">
        <v>31</v>
      </c>
      <c r="B10" s="45">
        <v>1</v>
      </c>
      <c r="C10" s="375"/>
      <c r="D10" s="352" t="s">
        <v>26</v>
      </c>
      <c r="E10" s="85">
        <f>17694090.44</f>
        <v>17694090.44</v>
      </c>
      <c r="F10" s="48">
        <f>19338026.07</f>
        <v>19338026.07</v>
      </c>
      <c r="G10" s="48">
        <f>25997535</f>
        <v>25997535</v>
      </c>
      <c r="H10" s="49">
        <f>24644334.58</f>
        <v>24644334.58</v>
      </c>
      <c r="I10" s="50">
        <f>22025356.34</f>
        <v>22025356.34</v>
      </c>
      <c r="J10" s="51">
        <f>19850045</f>
        <v>19850045</v>
      </c>
      <c r="K10" s="51">
        <f>20979000</f>
        <v>20979000</v>
      </c>
      <c r="L10" s="51">
        <f>20700000</f>
        <v>20700000</v>
      </c>
      <c r="M10" s="51">
        <f>21300000</f>
        <v>21300000</v>
      </c>
      <c r="N10" s="51">
        <f>21900000</f>
        <v>21900000</v>
      </c>
      <c r="O10" s="51">
        <f>22500000</f>
        <v>22500000</v>
      </c>
      <c r="P10" s="51">
        <f>23000000</f>
        <v>23000000</v>
      </c>
      <c r="Q10" s="51">
        <f>23468000</f>
        <v>23468000</v>
      </c>
      <c r="R10" s="51">
        <f>23937000</f>
        <v>23937000</v>
      </c>
      <c r="S10" s="51">
        <f>24416000</f>
        <v>24416000</v>
      </c>
      <c r="T10" s="51">
        <f>24900000</f>
        <v>24900000</v>
      </c>
    </row>
    <row r="11" spans="1:20" ht="15" customHeight="1" outlineLevel="2">
      <c r="A11" s="374" t="s">
        <v>31</v>
      </c>
      <c r="B11" s="46" t="s">
        <v>164</v>
      </c>
      <c r="C11" s="353"/>
      <c r="D11" s="354" t="s">
        <v>226</v>
      </c>
      <c r="E11" s="86">
        <f>15865836.94</f>
        <v>15865836.94</v>
      </c>
      <c r="F11" s="52">
        <f>17910350.27</f>
        <v>17910350.27</v>
      </c>
      <c r="G11" s="52">
        <f>17642438</f>
        <v>17642438</v>
      </c>
      <c r="H11" s="53">
        <f>17734513.03</f>
        <v>17734513.03</v>
      </c>
      <c r="I11" s="54">
        <f>19306623.34</f>
        <v>19306623.34</v>
      </c>
      <c r="J11" s="55">
        <f>19300045</f>
        <v>19300045</v>
      </c>
      <c r="K11" s="55">
        <f>20100000</f>
        <v>20100000</v>
      </c>
      <c r="L11" s="55">
        <f>20700000</f>
        <v>20700000</v>
      </c>
      <c r="M11" s="55">
        <f>21300000</f>
        <v>21300000</v>
      </c>
      <c r="N11" s="55">
        <f>21900000</f>
        <v>21900000</v>
      </c>
      <c r="O11" s="55">
        <f>22500000</f>
        <v>22500000</v>
      </c>
      <c r="P11" s="55">
        <f>23000000</f>
        <v>23000000</v>
      </c>
      <c r="Q11" s="55">
        <f>23468000</f>
        <v>23468000</v>
      </c>
      <c r="R11" s="55">
        <f>23937000</f>
        <v>23937000</v>
      </c>
      <c r="S11" s="55">
        <f>24416000</f>
        <v>24416000</v>
      </c>
      <c r="T11" s="55">
        <f>24900000</f>
        <v>24900000</v>
      </c>
    </row>
    <row r="12" spans="2:20" ht="15" customHeight="1" outlineLevel="3">
      <c r="B12" s="46" t="s">
        <v>44</v>
      </c>
      <c r="C12" s="353"/>
      <c r="D12" s="355" t="s">
        <v>215</v>
      </c>
      <c r="E12" s="86">
        <f>0</f>
        <v>0</v>
      </c>
      <c r="F12" s="52">
        <f>0</f>
        <v>0</v>
      </c>
      <c r="G12" s="52">
        <f>0</f>
        <v>0</v>
      </c>
      <c r="H12" s="53">
        <f>0</f>
        <v>0</v>
      </c>
      <c r="I12" s="54">
        <f>5427668</f>
        <v>5427668</v>
      </c>
      <c r="J12" s="55">
        <f>5862000</f>
        <v>5862000</v>
      </c>
      <c r="K12" s="55">
        <f>6330000</f>
        <v>6330000</v>
      </c>
      <c r="L12" s="55">
        <f>5774000</f>
        <v>5774000</v>
      </c>
      <c r="M12" s="55">
        <f>0</f>
        <v>0</v>
      </c>
      <c r="N12" s="55">
        <f>0</f>
        <v>0</v>
      </c>
      <c r="O12" s="55">
        <f>0</f>
        <v>0</v>
      </c>
      <c r="P12" s="55">
        <f>0</f>
        <v>0</v>
      </c>
      <c r="Q12" s="55">
        <f>0</f>
        <v>0</v>
      </c>
      <c r="R12" s="55">
        <f>0</f>
        <v>0</v>
      </c>
      <c r="S12" s="55">
        <f>0</f>
        <v>0</v>
      </c>
      <c r="T12" s="55">
        <f>0</f>
        <v>0</v>
      </c>
    </row>
    <row r="13" spans="2:20" ht="15" customHeight="1" outlineLevel="3">
      <c r="B13" s="46" t="s">
        <v>46</v>
      </c>
      <c r="C13" s="353"/>
      <c r="D13" s="355" t="s">
        <v>216</v>
      </c>
      <c r="E13" s="86">
        <f>0</f>
        <v>0</v>
      </c>
      <c r="F13" s="52">
        <f>0</f>
        <v>0</v>
      </c>
      <c r="G13" s="52">
        <f>0</f>
        <v>0</v>
      </c>
      <c r="H13" s="53">
        <f>0</f>
        <v>0</v>
      </c>
      <c r="I13" s="54">
        <f>74400</f>
        <v>74400</v>
      </c>
      <c r="J13" s="55">
        <f>80000</f>
        <v>80000</v>
      </c>
      <c r="K13" s="55">
        <f>80000</f>
        <v>80000</v>
      </c>
      <c r="L13" s="55">
        <f>81600</f>
        <v>81600</v>
      </c>
      <c r="M13" s="55">
        <f>0</f>
        <v>0</v>
      </c>
      <c r="N13" s="55">
        <f>0</f>
        <v>0</v>
      </c>
      <c r="O13" s="55">
        <f>0</f>
        <v>0</v>
      </c>
      <c r="P13" s="55">
        <f>0</f>
        <v>0</v>
      </c>
      <c r="Q13" s="55">
        <f>0</f>
        <v>0</v>
      </c>
      <c r="R13" s="55">
        <f>0</f>
        <v>0</v>
      </c>
      <c r="S13" s="55">
        <f>0</f>
        <v>0</v>
      </c>
      <c r="T13" s="55">
        <f>0</f>
        <v>0</v>
      </c>
    </row>
    <row r="14" spans="2:20" ht="15" customHeight="1" outlineLevel="3">
      <c r="B14" s="46" t="s">
        <v>48</v>
      </c>
      <c r="C14" s="353"/>
      <c r="D14" s="355" t="s">
        <v>220</v>
      </c>
      <c r="E14" s="86">
        <f>0</f>
        <v>0</v>
      </c>
      <c r="F14" s="52">
        <f>0</f>
        <v>0</v>
      </c>
      <c r="G14" s="52">
        <f>0</f>
        <v>0</v>
      </c>
      <c r="H14" s="53">
        <f>0</f>
        <v>0</v>
      </c>
      <c r="I14" s="54">
        <f>3784654</f>
        <v>3784654</v>
      </c>
      <c r="J14" s="55">
        <f>3887000</f>
        <v>3887000</v>
      </c>
      <c r="K14" s="55">
        <f>4004000</f>
        <v>4004000</v>
      </c>
      <c r="L14" s="55">
        <f>4125000</f>
        <v>4125000</v>
      </c>
      <c r="M14" s="55">
        <f>0</f>
        <v>0</v>
      </c>
      <c r="N14" s="55">
        <f>0</f>
        <v>0</v>
      </c>
      <c r="O14" s="55">
        <f>0</f>
        <v>0</v>
      </c>
      <c r="P14" s="55">
        <f>0</f>
        <v>0</v>
      </c>
      <c r="Q14" s="55">
        <f>0</f>
        <v>0</v>
      </c>
      <c r="R14" s="55">
        <f>0</f>
        <v>0</v>
      </c>
      <c r="S14" s="55">
        <f>0</f>
        <v>0</v>
      </c>
      <c r="T14" s="55">
        <f>0</f>
        <v>0</v>
      </c>
    </row>
    <row r="15" spans="2:20" ht="15" customHeight="1" outlineLevel="3">
      <c r="B15" s="46" t="s">
        <v>50</v>
      </c>
      <c r="C15" s="353"/>
      <c r="D15" s="356" t="s">
        <v>217</v>
      </c>
      <c r="E15" s="86">
        <f>0</f>
        <v>0</v>
      </c>
      <c r="F15" s="52">
        <f>0</f>
        <v>0</v>
      </c>
      <c r="G15" s="52">
        <f>0</f>
        <v>0</v>
      </c>
      <c r="H15" s="53">
        <f>0</f>
        <v>0</v>
      </c>
      <c r="I15" s="54">
        <f>1954000</f>
        <v>1954000</v>
      </c>
      <c r="J15" s="55">
        <f>2012000</f>
        <v>2012000</v>
      </c>
      <c r="K15" s="55">
        <f>2073000</f>
        <v>2073000</v>
      </c>
      <c r="L15" s="55">
        <f>2135000</f>
        <v>2135000</v>
      </c>
      <c r="M15" s="55">
        <f>0</f>
        <v>0</v>
      </c>
      <c r="N15" s="55">
        <f>0</f>
        <v>0</v>
      </c>
      <c r="O15" s="55">
        <f>0</f>
        <v>0</v>
      </c>
      <c r="P15" s="55">
        <f>0</f>
        <v>0</v>
      </c>
      <c r="Q15" s="55">
        <f>0</f>
        <v>0</v>
      </c>
      <c r="R15" s="55">
        <f>0</f>
        <v>0</v>
      </c>
      <c r="S15" s="55">
        <f>0</f>
        <v>0</v>
      </c>
      <c r="T15" s="55">
        <f>0</f>
        <v>0</v>
      </c>
    </row>
    <row r="16" spans="2:20" ht="15" customHeight="1" outlineLevel="3">
      <c r="B16" s="46" t="s">
        <v>52</v>
      </c>
      <c r="C16" s="353"/>
      <c r="D16" s="355" t="s">
        <v>218</v>
      </c>
      <c r="E16" s="86">
        <f>0</f>
        <v>0</v>
      </c>
      <c r="F16" s="52">
        <f>0</f>
        <v>0</v>
      </c>
      <c r="G16" s="52">
        <f>0</f>
        <v>0</v>
      </c>
      <c r="H16" s="53">
        <f>0</f>
        <v>0</v>
      </c>
      <c r="I16" s="54">
        <f>7405983</f>
        <v>7405983</v>
      </c>
      <c r="J16" s="55">
        <f>7620000</f>
        <v>7620000</v>
      </c>
      <c r="K16" s="55">
        <f>7848000</f>
        <v>7848000</v>
      </c>
      <c r="L16" s="55">
        <f>8005000</f>
        <v>8005000</v>
      </c>
      <c r="M16" s="55">
        <f>0</f>
        <v>0</v>
      </c>
      <c r="N16" s="55">
        <f>0</f>
        <v>0</v>
      </c>
      <c r="O16" s="55">
        <f>0</f>
        <v>0</v>
      </c>
      <c r="P16" s="55">
        <f>0</f>
        <v>0</v>
      </c>
      <c r="Q16" s="55">
        <f>0</f>
        <v>0</v>
      </c>
      <c r="R16" s="55">
        <f>0</f>
        <v>0</v>
      </c>
      <c r="S16" s="55">
        <f>0</f>
        <v>0</v>
      </c>
      <c r="T16" s="55">
        <f>0</f>
        <v>0</v>
      </c>
    </row>
    <row r="17" spans="2:20" ht="15" customHeight="1" outlineLevel="3">
      <c r="B17" s="46" t="s">
        <v>54</v>
      </c>
      <c r="C17" s="353"/>
      <c r="D17" s="355" t="s">
        <v>219</v>
      </c>
      <c r="E17" s="86">
        <f>0</f>
        <v>0</v>
      </c>
      <c r="F17" s="52">
        <f>0</f>
        <v>0</v>
      </c>
      <c r="G17" s="52">
        <f>0</f>
        <v>0</v>
      </c>
      <c r="H17" s="53">
        <f>0</f>
        <v>0</v>
      </c>
      <c r="I17" s="54">
        <f>2173770</f>
        <v>2173770</v>
      </c>
      <c r="J17" s="55">
        <f>1486000</f>
        <v>1486000</v>
      </c>
      <c r="K17" s="55">
        <f>1490000</f>
        <v>1490000</v>
      </c>
      <c r="L17" s="55">
        <f>1500000</f>
        <v>1500000</v>
      </c>
      <c r="M17" s="55">
        <f>0</f>
        <v>0</v>
      </c>
      <c r="N17" s="55">
        <f>0</f>
        <v>0</v>
      </c>
      <c r="O17" s="55">
        <f>0</f>
        <v>0</v>
      </c>
      <c r="P17" s="55">
        <f>0</f>
        <v>0</v>
      </c>
      <c r="Q17" s="55">
        <f>0</f>
        <v>0</v>
      </c>
      <c r="R17" s="55">
        <f>0</f>
        <v>0</v>
      </c>
      <c r="S17" s="55">
        <f>0</f>
        <v>0</v>
      </c>
      <c r="T17" s="55">
        <f>0</f>
        <v>0</v>
      </c>
    </row>
    <row r="18" spans="1:20" ht="15" customHeight="1" outlineLevel="2">
      <c r="A18" s="374" t="s">
        <v>31</v>
      </c>
      <c r="B18" s="46" t="s">
        <v>165</v>
      </c>
      <c r="C18" s="353"/>
      <c r="D18" s="354" t="s">
        <v>29</v>
      </c>
      <c r="E18" s="86">
        <f>1828253.5</f>
        <v>1828253.5</v>
      </c>
      <c r="F18" s="52">
        <f>1427675.8</f>
        <v>1427675.8</v>
      </c>
      <c r="G18" s="52">
        <f>8355097</f>
        <v>8355097</v>
      </c>
      <c r="H18" s="53">
        <f>6909821.55</f>
        <v>6909821.55</v>
      </c>
      <c r="I18" s="54">
        <f>2718733</f>
        <v>2718733</v>
      </c>
      <c r="J18" s="55">
        <f>550000</f>
        <v>550000</v>
      </c>
      <c r="K18" s="55">
        <f>879000</f>
        <v>879000</v>
      </c>
      <c r="L18" s="55">
        <f>0</f>
        <v>0</v>
      </c>
      <c r="M18" s="55">
        <f>0</f>
        <v>0</v>
      </c>
      <c r="N18" s="55">
        <f>0</f>
        <v>0</v>
      </c>
      <c r="O18" s="55">
        <f>0</f>
        <v>0</v>
      </c>
      <c r="P18" s="55">
        <f>0</f>
        <v>0</v>
      </c>
      <c r="Q18" s="55">
        <f>0</f>
        <v>0</v>
      </c>
      <c r="R18" s="55">
        <f>0</f>
        <v>0</v>
      </c>
      <c r="S18" s="55">
        <f>0</f>
        <v>0</v>
      </c>
      <c r="T18" s="55">
        <f>0</f>
        <v>0</v>
      </c>
    </row>
    <row r="19" spans="1:20" ht="15" customHeight="1" outlineLevel="3">
      <c r="A19" s="374" t="s">
        <v>31</v>
      </c>
      <c r="B19" s="46" t="s">
        <v>57</v>
      </c>
      <c r="C19" s="353"/>
      <c r="D19" s="355" t="s">
        <v>30</v>
      </c>
      <c r="E19" s="86">
        <f>735231.84</f>
        <v>735231.84</v>
      </c>
      <c r="F19" s="52">
        <f>609792.02</f>
        <v>609792.02</v>
      </c>
      <c r="G19" s="52">
        <f>2844700</f>
        <v>2844700</v>
      </c>
      <c r="H19" s="53">
        <f>2244564.3</f>
        <v>2244564.3</v>
      </c>
      <c r="I19" s="54">
        <f>1443196</f>
        <v>1443196</v>
      </c>
      <c r="J19" s="55">
        <f>550000</f>
        <v>550000</v>
      </c>
      <c r="K19" s="55">
        <f>326000</f>
        <v>326000</v>
      </c>
      <c r="L19" s="55">
        <f>0</f>
        <v>0</v>
      </c>
      <c r="M19" s="55">
        <f>0</f>
        <v>0</v>
      </c>
      <c r="N19" s="55">
        <f>0</f>
        <v>0</v>
      </c>
      <c r="O19" s="55">
        <f>0</f>
        <v>0</v>
      </c>
      <c r="P19" s="55">
        <f>0</f>
        <v>0</v>
      </c>
      <c r="Q19" s="55">
        <f>0</f>
        <v>0</v>
      </c>
      <c r="R19" s="55">
        <f>0</f>
        <v>0</v>
      </c>
      <c r="S19" s="55">
        <f>0</f>
        <v>0</v>
      </c>
      <c r="T19" s="55">
        <f>0</f>
        <v>0</v>
      </c>
    </row>
    <row r="20" spans="2:20" ht="15" customHeight="1" outlineLevel="3">
      <c r="B20" s="46" t="s">
        <v>59</v>
      </c>
      <c r="C20" s="353"/>
      <c r="D20" s="355" t="s">
        <v>221</v>
      </c>
      <c r="E20" s="86">
        <f>0</f>
        <v>0</v>
      </c>
      <c r="F20" s="52">
        <f>0</f>
        <v>0</v>
      </c>
      <c r="G20" s="52">
        <f>0</f>
        <v>0</v>
      </c>
      <c r="H20" s="53">
        <f>0</f>
        <v>0</v>
      </c>
      <c r="I20" s="54">
        <f>1268091</f>
        <v>1268091</v>
      </c>
      <c r="J20" s="55">
        <f>0</f>
        <v>0</v>
      </c>
      <c r="K20" s="55">
        <f>0</f>
        <v>0</v>
      </c>
      <c r="L20" s="55">
        <f>0</f>
        <v>0</v>
      </c>
      <c r="M20" s="55">
        <f>0</f>
        <v>0</v>
      </c>
      <c r="N20" s="55">
        <f>0</f>
        <v>0</v>
      </c>
      <c r="O20" s="55">
        <f>0</f>
        <v>0</v>
      </c>
      <c r="P20" s="55">
        <f>0</f>
        <v>0</v>
      </c>
      <c r="Q20" s="55">
        <f>0</f>
        <v>0</v>
      </c>
      <c r="R20" s="55">
        <f>0</f>
        <v>0</v>
      </c>
      <c r="S20" s="55">
        <f>0</f>
        <v>0</v>
      </c>
      <c r="T20" s="55">
        <f>0</f>
        <v>0</v>
      </c>
    </row>
    <row r="21" spans="1:20" ht="15" customHeight="1" outlineLevel="1">
      <c r="A21" s="374" t="s">
        <v>31</v>
      </c>
      <c r="B21" s="45">
        <v>2</v>
      </c>
      <c r="C21" s="375"/>
      <c r="D21" s="352" t="s">
        <v>21</v>
      </c>
      <c r="E21" s="85">
        <f>22089749.59</f>
        <v>22089749.59</v>
      </c>
      <c r="F21" s="48">
        <f>21767768.69</f>
        <v>21767768.69</v>
      </c>
      <c r="G21" s="48">
        <f>22390040</f>
        <v>22390040</v>
      </c>
      <c r="H21" s="49">
        <f>20539963.48</f>
        <v>20539963.48</v>
      </c>
      <c r="I21" s="50">
        <f>21687098.34</f>
        <v>21687098.34</v>
      </c>
      <c r="J21" s="51">
        <f>19815010</f>
        <v>19815010</v>
      </c>
      <c r="K21" s="51">
        <f>20604965</f>
        <v>20604965</v>
      </c>
      <c r="L21" s="51">
        <f>19784865</f>
        <v>19784865</v>
      </c>
      <c r="M21" s="51">
        <f>20384865</f>
        <v>20384865</v>
      </c>
      <c r="N21" s="51">
        <f>21034485</f>
        <v>21034485</v>
      </c>
      <c r="O21" s="51">
        <f>21724449</f>
        <v>21724449</v>
      </c>
      <c r="P21" s="51">
        <f>22418449</f>
        <v>22418449</v>
      </c>
      <c r="Q21" s="51">
        <f>22751149</f>
        <v>22751149</v>
      </c>
      <c r="R21" s="51">
        <f>23220149</f>
        <v>23220149</v>
      </c>
      <c r="S21" s="51">
        <f>23746549</f>
        <v>23746549</v>
      </c>
      <c r="T21" s="51">
        <f>24445650</f>
        <v>24445650</v>
      </c>
    </row>
    <row r="22" spans="1:20" ht="15" customHeight="1" outlineLevel="2">
      <c r="A22" s="374" t="s">
        <v>31</v>
      </c>
      <c r="B22" s="46" t="s">
        <v>166</v>
      </c>
      <c r="C22" s="353"/>
      <c r="D22" s="354" t="s">
        <v>222</v>
      </c>
      <c r="E22" s="86">
        <f>14506921.92</f>
        <v>14506921.92</v>
      </c>
      <c r="F22" s="52">
        <f>15158377.44</f>
        <v>15158377.44</v>
      </c>
      <c r="G22" s="52">
        <f>17619717</f>
        <v>17619717</v>
      </c>
      <c r="H22" s="53">
        <f>16837409.82</f>
        <v>16837409.82</v>
      </c>
      <c r="I22" s="54">
        <f>19126038.34</f>
        <v>19126038.34</v>
      </c>
      <c r="J22" s="55">
        <f>18607000</f>
        <v>18607000</v>
      </c>
      <c r="K22" s="55">
        <f>18853975</f>
        <v>18853975</v>
      </c>
      <c r="L22" s="55">
        <f>19201000</f>
        <v>19201000</v>
      </c>
      <c r="M22" s="55">
        <f>19530000</f>
        <v>19530000</v>
      </c>
      <c r="N22" s="55">
        <f>19884000</f>
        <v>19884000</v>
      </c>
      <c r="O22" s="55">
        <f>20247000</f>
        <v>20247000</v>
      </c>
      <c r="P22" s="55">
        <f>20600000</f>
        <v>20600000</v>
      </c>
      <c r="Q22" s="55">
        <f>20779000</f>
        <v>20779000</v>
      </c>
      <c r="R22" s="55">
        <f>20954000</f>
        <v>20954000</v>
      </c>
      <c r="S22" s="55">
        <f>21136000</f>
        <v>21136000</v>
      </c>
      <c r="T22" s="55">
        <f>21326000</f>
        <v>21326000</v>
      </c>
    </row>
    <row r="23" spans="1:20" ht="15" customHeight="1" outlineLevel="3">
      <c r="A23" s="374" t="s">
        <v>31</v>
      </c>
      <c r="B23" s="46" t="s">
        <v>62</v>
      </c>
      <c r="C23" s="353"/>
      <c r="D23" s="355" t="s">
        <v>223</v>
      </c>
      <c r="E23" s="86">
        <f>0</f>
        <v>0</v>
      </c>
      <c r="F23" s="52">
        <f>0</f>
        <v>0</v>
      </c>
      <c r="G23" s="52">
        <f>0</f>
        <v>0</v>
      </c>
      <c r="H23" s="53">
        <f>0</f>
        <v>0</v>
      </c>
      <c r="I23" s="54">
        <f>0</f>
        <v>0</v>
      </c>
      <c r="J23" s="55">
        <f>0</f>
        <v>0</v>
      </c>
      <c r="K23" s="55">
        <f>0</f>
        <v>0</v>
      </c>
      <c r="L23" s="55">
        <f>0</f>
        <v>0</v>
      </c>
      <c r="M23" s="55">
        <f>0</f>
        <v>0</v>
      </c>
      <c r="N23" s="55">
        <f>0</f>
        <v>0</v>
      </c>
      <c r="O23" s="55">
        <f>0</f>
        <v>0</v>
      </c>
      <c r="P23" s="55">
        <f>0</f>
        <v>0</v>
      </c>
      <c r="Q23" s="55">
        <f>0</f>
        <v>0</v>
      </c>
      <c r="R23" s="55">
        <f>0</f>
        <v>0</v>
      </c>
      <c r="S23" s="55">
        <f>0</f>
        <v>0</v>
      </c>
      <c r="T23" s="55">
        <f>0</f>
        <v>0</v>
      </c>
    </row>
    <row r="24" spans="1:20" ht="48" customHeight="1" outlineLevel="3">
      <c r="A24" s="374" t="s">
        <v>31</v>
      </c>
      <c r="B24" s="46" t="s">
        <v>64</v>
      </c>
      <c r="C24" s="353"/>
      <c r="D24" s="356" t="s">
        <v>451</v>
      </c>
      <c r="E24" s="86">
        <f>0</f>
        <v>0</v>
      </c>
      <c r="F24" s="52">
        <f>0</f>
        <v>0</v>
      </c>
      <c r="G24" s="52">
        <f>0</f>
        <v>0</v>
      </c>
      <c r="H24" s="53">
        <f>0</f>
        <v>0</v>
      </c>
      <c r="I24" s="54">
        <f>0</f>
        <v>0</v>
      </c>
      <c r="J24" s="55">
        <f>0</f>
        <v>0</v>
      </c>
      <c r="K24" s="55">
        <f>0</f>
        <v>0</v>
      </c>
      <c r="L24" s="55">
        <f>0</f>
        <v>0</v>
      </c>
      <c r="M24" s="55">
        <f>0</f>
        <v>0</v>
      </c>
      <c r="N24" s="55">
        <f>0</f>
        <v>0</v>
      </c>
      <c r="O24" s="55">
        <f>0</f>
        <v>0</v>
      </c>
      <c r="P24" s="55">
        <f>0</f>
        <v>0</v>
      </c>
      <c r="Q24" s="55">
        <f>0</f>
        <v>0</v>
      </c>
      <c r="R24" s="55">
        <f>0</f>
        <v>0</v>
      </c>
      <c r="S24" s="55">
        <f>0</f>
        <v>0</v>
      </c>
      <c r="T24" s="55">
        <f>0</f>
        <v>0</v>
      </c>
    </row>
    <row r="25" spans="2:20" ht="39" customHeight="1" outlineLevel="3">
      <c r="B25" s="46" t="s">
        <v>66</v>
      </c>
      <c r="C25" s="353"/>
      <c r="D25" s="355" t="s">
        <v>452</v>
      </c>
      <c r="E25" s="87" t="s">
        <v>31</v>
      </c>
      <c r="F25" s="56" t="s">
        <v>31</v>
      </c>
      <c r="G25" s="56" t="s">
        <v>31</v>
      </c>
      <c r="H25" s="57" t="s">
        <v>31</v>
      </c>
      <c r="I25" s="54">
        <f>0</f>
        <v>0</v>
      </c>
      <c r="J25" s="55">
        <f>0</f>
        <v>0</v>
      </c>
      <c r="K25" s="55">
        <f>0</f>
        <v>0</v>
      </c>
      <c r="L25" s="55">
        <f>0</f>
        <v>0</v>
      </c>
      <c r="M25" s="55">
        <f>0</f>
        <v>0</v>
      </c>
      <c r="N25" s="55">
        <f>0</f>
        <v>0</v>
      </c>
      <c r="O25" s="55">
        <f>0</f>
        <v>0</v>
      </c>
      <c r="P25" s="55">
        <f>0</f>
        <v>0</v>
      </c>
      <c r="Q25" s="55">
        <f>0</f>
        <v>0</v>
      </c>
      <c r="R25" s="55">
        <f>0</f>
        <v>0</v>
      </c>
      <c r="S25" s="55">
        <f>0</f>
        <v>0</v>
      </c>
      <c r="T25" s="55">
        <f>0</f>
        <v>0</v>
      </c>
    </row>
    <row r="26" spans="1:20" ht="15" customHeight="1" outlineLevel="3">
      <c r="A26" s="374" t="s">
        <v>31</v>
      </c>
      <c r="B26" s="46" t="s">
        <v>68</v>
      </c>
      <c r="C26" s="353"/>
      <c r="D26" s="355" t="s">
        <v>224</v>
      </c>
      <c r="E26" s="86">
        <f>331174.84</f>
        <v>331174.84</v>
      </c>
      <c r="F26" s="52">
        <f>430465.97</f>
        <v>430465.97</v>
      </c>
      <c r="G26" s="52">
        <f>523000</f>
        <v>523000</v>
      </c>
      <c r="H26" s="53">
        <f>481394.65</f>
        <v>481394.65</v>
      </c>
      <c r="I26" s="54">
        <f>455000</f>
        <v>455000</v>
      </c>
      <c r="J26" s="55">
        <f>407000</f>
        <v>407000</v>
      </c>
      <c r="K26" s="55">
        <f>329000</f>
        <v>329000</v>
      </c>
      <c r="L26" s="55">
        <f>326000</f>
        <v>326000</v>
      </c>
      <c r="M26" s="55">
        <f>285000</f>
        <v>285000</v>
      </c>
      <c r="N26" s="55">
        <f>244000</f>
        <v>244000</v>
      </c>
      <c r="O26" s="55">
        <f>202000</f>
        <v>202000</v>
      </c>
      <c r="P26" s="55">
        <f>163000</f>
        <v>163000</v>
      </c>
      <c r="Q26" s="55">
        <f>130000</f>
        <v>130000</v>
      </c>
      <c r="R26" s="55">
        <f>90000</f>
        <v>90000</v>
      </c>
      <c r="S26" s="55">
        <f>51000</f>
        <v>51000</v>
      </c>
      <c r="T26" s="55">
        <f>18000</f>
        <v>18000</v>
      </c>
    </row>
    <row r="27" spans="1:20" ht="15" customHeight="1" outlineLevel="3">
      <c r="A27" s="374" t="s">
        <v>31</v>
      </c>
      <c r="B27" s="46" t="s">
        <v>70</v>
      </c>
      <c r="C27" s="353"/>
      <c r="D27" s="356" t="s">
        <v>225</v>
      </c>
      <c r="E27" s="86">
        <f>331174.84</f>
        <v>331174.84</v>
      </c>
      <c r="F27" s="52">
        <f>430465.97</f>
        <v>430465.97</v>
      </c>
      <c r="G27" s="52">
        <f>523000</f>
        <v>523000</v>
      </c>
      <c r="H27" s="53">
        <f>481394.65</f>
        <v>481394.65</v>
      </c>
      <c r="I27" s="54">
        <f>455000</f>
        <v>455000</v>
      </c>
      <c r="J27" s="55">
        <f>407000</f>
        <v>407000</v>
      </c>
      <c r="K27" s="55">
        <f>329000</f>
        <v>329000</v>
      </c>
      <c r="L27" s="55">
        <f>326000</f>
        <v>326000</v>
      </c>
      <c r="M27" s="55">
        <f>285000</f>
        <v>285000</v>
      </c>
      <c r="N27" s="55">
        <f>244000</f>
        <v>244000</v>
      </c>
      <c r="O27" s="55">
        <f>202000</f>
        <v>202000</v>
      </c>
      <c r="P27" s="55">
        <f>163000</f>
        <v>163000</v>
      </c>
      <c r="Q27" s="55">
        <f>130000</f>
        <v>130000</v>
      </c>
      <c r="R27" s="55">
        <f>90000</f>
        <v>90000</v>
      </c>
      <c r="S27" s="55">
        <f>51000</f>
        <v>51000</v>
      </c>
      <c r="T27" s="55">
        <f>18000</f>
        <v>18000</v>
      </c>
    </row>
    <row r="28" spans="1:20" ht="15" customHeight="1" outlineLevel="2">
      <c r="A28" s="374" t="s">
        <v>31</v>
      </c>
      <c r="B28" s="46" t="s">
        <v>167</v>
      </c>
      <c r="C28" s="353"/>
      <c r="D28" s="354" t="s">
        <v>22</v>
      </c>
      <c r="E28" s="86">
        <f>7582827.67</f>
        <v>7582827.67</v>
      </c>
      <c r="F28" s="52">
        <f>6609391.25</f>
        <v>6609391.25</v>
      </c>
      <c r="G28" s="52">
        <f>4770323</f>
        <v>4770323</v>
      </c>
      <c r="H28" s="53">
        <f>3702553.66</f>
        <v>3702553.66</v>
      </c>
      <c r="I28" s="54">
        <f>2561060</f>
        <v>2561060</v>
      </c>
      <c r="J28" s="55">
        <f>1208010</f>
        <v>1208010</v>
      </c>
      <c r="K28" s="55">
        <f>1750990</f>
        <v>1750990</v>
      </c>
      <c r="L28" s="55">
        <f>583865</f>
        <v>583865</v>
      </c>
      <c r="M28" s="55">
        <f>854865</f>
        <v>854865</v>
      </c>
      <c r="N28" s="55">
        <f>1150485</f>
        <v>1150485</v>
      </c>
      <c r="O28" s="55">
        <f>1477449</f>
        <v>1477449</v>
      </c>
      <c r="P28" s="55">
        <f>1818449</f>
        <v>1818449</v>
      </c>
      <c r="Q28" s="55">
        <f>1972149</f>
        <v>1972149</v>
      </c>
      <c r="R28" s="55">
        <f>2266149</f>
        <v>2266149</v>
      </c>
      <c r="S28" s="55">
        <f>2610549</f>
        <v>2610549</v>
      </c>
      <c r="T28" s="55">
        <f>3119650</f>
        <v>3119650</v>
      </c>
    </row>
    <row r="29" spans="1:20" ht="15" customHeight="1" outlineLevel="1">
      <c r="A29" s="374" t="s">
        <v>31</v>
      </c>
      <c r="B29" s="45">
        <v>3</v>
      </c>
      <c r="C29" s="375"/>
      <c r="D29" s="352" t="s">
        <v>23</v>
      </c>
      <c r="E29" s="85">
        <f>-4395659.15</f>
        <v>-4395659.15</v>
      </c>
      <c r="F29" s="48">
        <f>-2429742.62</f>
        <v>-2429742.62</v>
      </c>
      <c r="G29" s="48">
        <f>3607495</f>
        <v>3607495</v>
      </c>
      <c r="H29" s="49">
        <f>4104371.1</f>
        <v>4104371.1</v>
      </c>
      <c r="I29" s="50">
        <f>338258</f>
        <v>338258</v>
      </c>
      <c r="J29" s="51">
        <f>35035</f>
        <v>35035</v>
      </c>
      <c r="K29" s="51">
        <f>374035</f>
        <v>374035</v>
      </c>
      <c r="L29" s="51">
        <f>915135</f>
        <v>915135</v>
      </c>
      <c r="M29" s="51">
        <f>915135</f>
        <v>915135</v>
      </c>
      <c r="N29" s="51">
        <f>865515</f>
        <v>865515</v>
      </c>
      <c r="O29" s="51">
        <f>775551</f>
        <v>775551</v>
      </c>
      <c r="P29" s="51">
        <f>581551</f>
        <v>581551</v>
      </c>
      <c r="Q29" s="51">
        <f>716851</f>
        <v>716851</v>
      </c>
      <c r="R29" s="51">
        <f>716851</f>
        <v>716851</v>
      </c>
      <c r="S29" s="51">
        <f>669451</f>
        <v>669451</v>
      </c>
      <c r="T29" s="51">
        <f>454350</f>
        <v>454350</v>
      </c>
    </row>
    <row r="30" spans="1:20" ht="15" customHeight="1" outlineLevel="1">
      <c r="A30" s="374" t="s">
        <v>31</v>
      </c>
      <c r="B30" s="45">
        <v>4</v>
      </c>
      <c r="C30" s="375"/>
      <c r="D30" s="352" t="s">
        <v>24</v>
      </c>
      <c r="E30" s="85">
        <f>4079816.92</f>
        <v>4079816.92</v>
      </c>
      <c r="F30" s="48">
        <f>3181535.26</f>
        <v>3181535.26</v>
      </c>
      <c r="G30" s="48">
        <f>1351976</f>
        <v>1351976</v>
      </c>
      <c r="H30" s="49">
        <f>1088986.44</f>
        <v>1088986.44</v>
      </c>
      <c r="I30" s="50">
        <f>496877</f>
        <v>496877</v>
      </c>
      <c r="J30" s="51">
        <f>800100</f>
        <v>800100</v>
      </c>
      <c r="K30" s="51">
        <f>501100</f>
        <v>501100</v>
      </c>
      <c r="L30" s="51">
        <f>0</f>
        <v>0</v>
      </c>
      <c r="M30" s="51">
        <f>0</f>
        <v>0</v>
      </c>
      <c r="N30" s="51">
        <f>0</f>
        <v>0</v>
      </c>
      <c r="O30" s="51">
        <f>0</f>
        <v>0</v>
      </c>
      <c r="P30" s="51">
        <f>0</f>
        <v>0</v>
      </c>
      <c r="Q30" s="51">
        <f>0</f>
        <v>0</v>
      </c>
      <c r="R30" s="51">
        <f>0</f>
        <v>0</v>
      </c>
      <c r="S30" s="51">
        <f>0</f>
        <v>0</v>
      </c>
      <c r="T30" s="51">
        <f>0</f>
        <v>0</v>
      </c>
    </row>
    <row r="31" spans="1:20" ht="15" customHeight="1" outlineLevel="2">
      <c r="A31" s="374" t="s">
        <v>31</v>
      </c>
      <c r="B31" s="46" t="s">
        <v>168</v>
      </c>
      <c r="C31" s="353"/>
      <c r="D31" s="354" t="s">
        <v>227</v>
      </c>
      <c r="E31" s="86">
        <f>0</f>
        <v>0</v>
      </c>
      <c r="F31" s="52">
        <f>0</f>
        <v>0</v>
      </c>
      <c r="G31" s="52">
        <f>1088986</f>
        <v>1088986</v>
      </c>
      <c r="H31" s="53">
        <f>1088986.44</f>
        <v>1088986.44</v>
      </c>
      <c r="I31" s="54">
        <f>0</f>
        <v>0</v>
      </c>
      <c r="J31" s="55">
        <f>0</f>
        <v>0</v>
      </c>
      <c r="K31" s="55">
        <f>0</f>
        <v>0</v>
      </c>
      <c r="L31" s="55">
        <f>0</f>
        <v>0</v>
      </c>
      <c r="M31" s="55">
        <f>0</f>
        <v>0</v>
      </c>
      <c r="N31" s="55">
        <f>0</f>
        <v>0</v>
      </c>
      <c r="O31" s="55">
        <f>0</f>
        <v>0</v>
      </c>
      <c r="P31" s="55">
        <f>0</f>
        <v>0</v>
      </c>
      <c r="Q31" s="55">
        <f>0</f>
        <v>0</v>
      </c>
      <c r="R31" s="55">
        <f>0</f>
        <v>0</v>
      </c>
      <c r="S31" s="55">
        <f>0</f>
        <v>0</v>
      </c>
      <c r="T31" s="55">
        <f>0</f>
        <v>0</v>
      </c>
    </row>
    <row r="32" spans="1:20" ht="15" customHeight="1" outlineLevel="3">
      <c r="A32" s="374" t="s">
        <v>31</v>
      </c>
      <c r="B32" s="46" t="s">
        <v>74</v>
      </c>
      <c r="C32" s="353"/>
      <c r="D32" s="355" t="s">
        <v>228</v>
      </c>
      <c r="E32" s="86">
        <f>0</f>
        <v>0</v>
      </c>
      <c r="F32" s="52">
        <f>0</f>
        <v>0</v>
      </c>
      <c r="G32" s="52">
        <f>0</f>
        <v>0</v>
      </c>
      <c r="H32" s="53">
        <f>0</f>
        <v>0</v>
      </c>
      <c r="I32" s="54">
        <f>0</f>
        <v>0</v>
      </c>
      <c r="J32" s="55">
        <f>0</f>
        <v>0</v>
      </c>
      <c r="K32" s="55">
        <f>0</f>
        <v>0</v>
      </c>
      <c r="L32" s="55">
        <f>0</f>
        <v>0</v>
      </c>
      <c r="M32" s="55">
        <f>0</f>
        <v>0</v>
      </c>
      <c r="N32" s="55">
        <f>0</f>
        <v>0</v>
      </c>
      <c r="O32" s="55">
        <f>0</f>
        <v>0</v>
      </c>
      <c r="P32" s="55">
        <f>0</f>
        <v>0</v>
      </c>
      <c r="Q32" s="55">
        <f>0</f>
        <v>0</v>
      </c>
      <c r="R32" s="55">
        <f>0</f>
        <v>0</v>
      </c>
      <c r="S32" s="55">
        <f>0</f>
        <v>0</v>
      </c>
      <c r="T32" s="55">
        <f>0</f>
        <v>0</v>
      </c>
    </row>
    <row r="33" spans="1:20" ht="15" customHeight="1" outlineLevel="2">
      <c r="A33" s="374" t="s">
        <v>31</v>
      </c>
      <c r="B33" s="46" t="s">
        <v>169</v>
      </c>
      <c r="C33" s="353"/>
      <c r="D33" s="354" t="s">
        <v>229</v>
      </c>
      <c r="E33" s="86">
        <f>0</f>
        <v>0</v>
      </c>
      <c r="F33" s="52">
        <f>0</f>
        <v>0</v>
      </c>
      <c r="G33" s="52">
        <f>0</f>
        <v>0</v>
      </c>
      <c r="H33" s="53">
        <f>0</f>
        <v>0</v>
      </c>
      <c r="I33" s="54">
        <f>315881</f>
        <v>315881</v>
      </c>
      <c r="J33" s="55">
        <f>0</f>
        <v>0</v>
      </c>
      <c r="K33" s="55">
        <f>0</f>
        <v>0</v>
      </c>
      <c r="L33" s="55">
        <f>0</f>
        <v>0</v>
      </c>
      <c r="M33" s="55">
        <f>0</f>
        <v>0</v>
      </c>
      <c r="N33" s="55">
        <f>0</f>
        <v>0</v>
      </c>
      <c r="O33" s="55">
        <f>0</f>
        <v>0</v>
      </c>
      <c r="P33" s="55">
        <f>0</f>
        <v>0</v>
      </c>
      <c r="Q33" s="55">
        <f>0</f>
        <v>0</v>
      </c>
      <c r="R33" s="55">
        <f>0</f>
        <v>0</v>
      </c>
      <c r="S33" s="55">
        <f>0</f>
        <v>0</v>
      </c>
      <c r="T33" s="55">
        <f>0</f>
        <v>0</v>
      </c>
    </row>
    <row r="34" spans="1:20" ht="15" customHeight="1" outlineLevel="3">
      <c r="A34" s="374" t="s">
        <v>31</v>
      </c>
      <c r="B34" s="46" t="s">
        <v>77</v>
      </c>
      <c r="C34" s="353"/>
      <c r="D34" s="355" t="s">
        <v>228</v>
      </c>
      <c r="E34" s="86">
        <f>0</f>
        <v>0</v>
      </c>
      <c r="F34" s="52">
        <f>0</f>
        <v>0</v>
      </c>
      <c r="G34" s="52">
        <f>0</f>
        <v>0</v>
      </c>
      <c r="H34" s="53">
        <f>0</f>
        <v>0</v>
      </c>
      <c r="I34" s="54">
        <f>0</f>
        <v>0</v>
      </c>
      <c r="J34" s="55">
        <f>0</f>
        <v>0</v>
      </c>
      <c r="K34" s="55">
        <f>0</f>
        <v>0</v>
      </c>
      <c r="L34" s="55">
        <f>0</f>
        <v>0</v>
      </c>
      <c r="M34" s="55">
        <f>0</f>
        <v>0</v>
      </c>
      <c r="N34" s="55">
        <f>0</f>
        <v>0</v>
      </c>
      <c r="O34" s="55">
        <f>0</f>
        <v>0</v>
      </c>
      <c r="P34" s="55">
        <f>0</f>
        <v>0</v>
      </c>
      <c r="Q34" s="55">
        <f>0</f>
        <v>0</v>
      </c>
      <c r="R34" s="55">
        <f>0</f>
        <v>0</v>
      </c>
      <c r="S34" s="55">
        <f>0</f>
        <v>0</v>
      </c>
      <c r="T34" s="55">
        <f>0</f>
        <v>0</v>
      </c>
    </row>
    <row r="35" spans="1:20" ht="15" customHeight="1" outlineLevel="2">
      <c r="A35" s="374" t="s">
        <v>31</v>
      </c>
      <c r="B35" s="46" t="s">
        <v>170</v>
      </c>
      <c r="C35" s="353"/>
      <c r="D35" s="354" t="s">
        <v>230</v>
      </c>
      <c r="E35" s="86">
        <f>4079816.92</f>
        <v>4079816.92</v>
      </c>
      <c r="F35" s="52">
        <f>3181535.26</f>
        <v>3181535.26</v>
      </c>
      <c r="G35" s="52">
        <f>262990</f>
        <v>262990</v>
      </c>
      <c r="H35" s="53">
        <f>0</f>
        <v>0</v>
      </c>
      <c r="I35" s="54">
        <f>0</f>
        <v>0</v>
      </c>
      <c r="J35" s="55">
        <f>800100</f>
        <v>800100</v>
      </c>
      <c r="K35" s="55">
        <f>501100</f>
        <v>501100</v>
      </c>
      <c r="L35" s="55">
        <f>0</f>
        <v>0</v>
      </c>
      <c r="M35" s="55">
        <f>0</f>
        <v>0</v>
      </c>
      <c r="N35" s="55">
        <f>0</f>
        <v>0</v>
      </c>
      <c r="O35" s="55">
        <f>0</f>
        <v>0</v>
      </c>
      <c r="P35" s="55">
        <f>0</f>
        <v>0</v>
      </c>
      <c r="Q35" s="55">
        <f>0</f>
        <v>0</v>
      </c>
      <c r="R35" s="55">
        <f>0</f>
        <v>0</v>
      </c>
      <c r="S35" s="55">
        <f>0</f>
        <v>0</v>
      </c>
      <c r="T35" s="55">
        <f>0</f>
        <v>0</v>
      </c>
    </row>
    <row r="36" spans="1:20" ht="15" customHeight="1" outlineLevel="3">
      <c r="A36" s="374" t="s">
        <v>31</v>
      </c>
      <c r="B36" s="46" t="s">
        <v>80</v>
      </c>
      <c r="C36" s="353"/>
      <c r="D36" s="355" t="s">
        <v>228</v>
      </c>
      <c r="E36" s="86">
        <f>0</f>
        <v>0</v>
      </c>
      <c r="F36" s="52">
        <f>0</f>
        <v>0</v>
      </c>
      <c r="G36" s="52">
        <f>0</f>
        <v>0</v>
      </c>
      <c r="H36" s="53">
        <f>0</f>
        <v>0</v>
      </c>
      <c r="I36" s="54">
        <f>0</f>
        <v>0</v>
      </c>
      <c r="J36" s="55">
        <f>0</f>
        <v>0</v>
      </c>
      <c r="K36" s="55">
        <f>0</f>
        <v>0</v>
      </c>
      <c r="L36" s="55">
        <f>0</f>
        <v>0</v>
      </c>
      <c r="M36" s="55">
        <f>0</f>
        <v>0</v>
      </c>
      <c r="N36" s="55">
        <f>0</f>
        <v>0</v>
      </c>
      <c r="O36" s="55">
        <f>0</f>
        <v>0</v>
      </c>
      <c r="P36" s="55">
        <f>0</f>
        <v>0</v>
      </c>
      <c r="Q36" s="55">
        <f>0</f>
        <v>0</v>
      </c>
      <c r="R36" s="55">
        <f>0</f>
        <v>0</v>
      </c>
      <c r="S36" s="55">
        <f>0</f>
        <v>0</v>
      </c>
      <c r="T36" s="55">
        <f>0</f>
        <v>0</v>
      </c>
    </row>
    <row r="37" spans="1:20" ht="15" customHeight="1" outlineLevel="2">
      <c r="A37" s="374" t="s">
        <v>31</v>
      </c>
      <c r="B37" s="46" t="s">
        <v>171</v>
      </c>
      <c r="C37" s="353"/>
      <c r="D37" s="354" t="s">
        <v>231</v>
      </c>
      <c r="E37" s="86">
        <f>0</f>
        <v>0</v>
      </c>
      <c r="F37" s="52">
        <f>0</f>
        <v>0</v>
      </c>
      <c r="G37" s="52">
        <f>0</f>
        <v>0</v>
      </c>
      <c r="H37" s="53">
        <f>0</f>
        <v>0</v>
      </c>
      <c r="I37" s="54">
        <f>180996</f>
        <v>180996</v>
      </c>
      <c r="J37" s="55">
        <f>0</f>
        <v>0</v>
      </c>
      <c r="K37" s="55">
        <f>0</f>
        <v>0</v>
      </c>
      <c r="L37" s="55">
        <f>0</f>
        <v>0</v>
      </c>
      <c r="M37" s="55">
        <f>0</f>
        <v>0</v>
      </c>
      <c r="N37" s="55">
        <f>0</f>
        <v>0</v>
      </c>
      <c r="O37" s="55">
        <f>0</f>
        <v>0</v>
      </c>
      <c r="P37" s="55">
        <f>0</f>
        <v>0</v>
      </c>
      <c r="Q37" s="55">
        <f>0</f>
        <v>0</v>
      </c>
      <c r="R37" s="55">
        <f>0</f>
        <v>0</v>
      </c>
      <c r="S37" s="55">
        <f>0</f>
        <v>0</v>
      </c>
      <c r="T37" s="55">
        <f>0</f>
        <v>0</v>
      </c>
    </row>
    <row r="38" spans="1:20" ht="15" customHeight="1" outlineLevel="3">
      <c r="A38" s="374" t="s">
        <v>31</v>
      </c>
      <c r="B38" s="46" t="s">
        <v>82</v>
      </c>
      <c r="C38" s="353"/>
      <c r="D38" s="355" t="s">
        <v>228</v>
      </c>
      <c r="E38" s="86">
        <f>0</f>
        <v>0</v>
      </c>
      <c r="F38" s="52">
        <f>0</f>
        <v>0</v>
      </c>
      <c r="G38" s="52">
        <f>0</f>
        <v>0</v>
      </c>
      <c r="H38" s="53">
        <f>0</f>
        <v>0</v>
      </c>
      <c r="I38" s="54">
        <f>0</f>
        <v>0</v>
      </c>
      <c r="J38" s="55">
        <f>0</f>
        <v>0</v>
      </c>
      <c r="K38" s="55">
        <f>0</f>
        <v>0</v>
      </c>
      <c r="L38" s="55">
        <f>0</f>
        <v>0</v>
      </c>
      <c r="M38" s="55">
        <f>0</f>
        <v>0</v>
      </c>
      <c r="N38" s="55">
        <f>0</f>
        <v>0</v>
      </c>
      <c r="O38" s="55">
        <f>0</f>
        <v>0</v>
      </c>
      <c r="P38" s="55">
        <f>0</f>
        <v>0</v>
      </c>
      <c r="Q38" s="55">
        <f>0</f>
        <v>0</v>
      </c>
      <c r="R38" s="55">
        <f>0</f>
        <v>0</v>
      </c>
      <c r="S38" s="55">
        <f>0</f>
        <v>0</v>
      </c>
      <c r="T38" s="55">
        <f>0</f>
        <v>0</v>
      </c>
    </row>
    <row r="39" spans="1:20" ht="15" customHeight="1" outlineLevel="1">
      <c r="A39" s="374" t="s">
        <v>31</v>
      </c>
      <c r="B39" s="45">
        <v>5</v>
      </c>
      <c r="C39" s="375"/>
      <c r="D39" s="352" t="s">
        <v>83</v>
      </c>
      <c r="E39" s="85">
        <f>388987.72</f>
        <v>388987.72</v>
      </c>
      <c r="F39" s="48">
        <f>605088.88</f>
        <v>605088.88</v>
      </c>
      <c r="G39" s="48">
        <f>4959471</f>
        <v>4959471</v>
      </c>
      <c r="H39" s="49">
        <f>4877476.49</f>
        <v>4877476.49</v>
      </c>
      <c r="I39" s="50">
        <f>835135</f>
        <v>835135</v>
      </c>
      <c r="J39" s="51">
        <f>835135</f>
        <v>835135</v>
      </c>
      <c r="K39" s="51">
        <f>875135</f>
        <v>875135</v>
      </c>
      <c r="L39" s="51">
        <f>915135</f>
        <v>915135</v>
      </c>
      <c r="M39" s="51">
        <f>915135</f>
        <v>915135</v>
      </c>
      <c r="N39" s="51">
        <f>865515</f>
        <v>865515</v>
      </c>
      <c r="O39" s="51">
        <f>775551</f>
        <v>775551</v>
      </c>
      <c r="P39" s="51">
        <f>581551</f>
        <v>581551</v>
      </c>
      <c r="Q39" s="51">
        <f>716851</f>
        <v>716851</v>
      </c>
      <c r="R39" s="51">
        <f>716851</f>
        <v>716851</v>
      </c>
      <c r="S39" s="51">
        <f>669451</f>
        <v>669451</v>
      </c>
      <c r="T39" s="51">
        <f>454350</f>
        <v>454350</v>
      </c>
    </row>
    <row r="40" spans="1:20" ht="15" customHeight="1" outlineLevel="2">
      <c r="A40" s="374" t="s">
        <v>31</v>
      </c>
      <c r="B40" s="46" t="s">
        <v>172</v>
      </c>
      <c r="C40" s="353"/>
      <c r="D40" s="354" t="s">
        <v>232</v>
      </c>
      <c r="E40" s="86">
        <f>388987.72</f>
        <v>388987.72</v>
      </c>
      <c r="F40" s="52">
        <f>605088.88</f>
        <v>605088.88</v>
      </c>
      <c r="G40" s="52">
        <f>4696481</f>
        <v>4696481</v>
      </c>
      <c r="H40" s="53">
        <f>4696480.49</f>
        <v>4696480.49</v>
      </c>
      <c r="I40" s="54">
        <f>835135</f>
        <v>835135</v>
      </c>
      <c r="J40" s="55">
        <f>835135</f>
        <v>835135</v>
      </c>
      <c r="K40" s="55">
        <f>875135</f>
        <v>875135</v>
      </c>
      <c r="L40" s="55">
        <f>915135</f>
        <v>915135</v>
      </c>
      <c r="M40" s="55">
        <f>915135</f>
        <v>915135</v>
      </c>
      <c r="N40" s="55">
        <f>865515</f>
        <v>865515</v>
      </c>
      <c r="O40" s="55">
        <f>775551</f>
        <v>775551</v>
      </c>
      <c r="P40" s="55">
        <f>581551</f>
        <v>581551</v>
      </c>
      <c r="Q40" s="55">
        <f>716851</f>
        <v>716851</v>
      </c>
      <c r="R40" s="55">
        <f>716851</f>
        <v>716851</v>
      </c>
      <c r="S40" s="55">
        <f>669451</f>
        <v>669451</v>
      </c>
      <c r="T40" s="55">
        <f>454350</f>
        <v>454350</v>
      </c>
    </row>
    <row r="41" spans="1:20" ht="62.25" customHeight="1" outlineLevel="3">
      <c r="A41" s="374" t="s">
        <v>31</v>
      </c>
      <c r="B41" s="46" t="s">
        <v>85</v>
      </c>
      <c r="C41" s="353"/>
      <c r="D41" s="355" t="s">
        <v>453</v>
      </c>
      <c r="E41" s="86">
        <f>0</f>
        <v>0</v>
      </c>
      <c r="F41" s="52">
        <f>0</f>
        <v>0</v>
      </c>
      <c r="G41" s="52">
        <f>0</f>
        <v>0</v>
      </c>
      <c r="H41" s="53">
        <f>3843709.41</f>
        <v>3843709.41</v>
      </c>
      <c r="I41" s="54">
        <f>0</f>
        <v>0</v>
      </c>
      <c r="J41" s="55">
        <f>0</f>
        <v>0</v>
      </c>
      <c r="K41" s="55">
        <f>0</f>
        <v>0</v>
      </c>
      <c r="L41" s="55">
        <f>0</f>
        <v>0</v>
      </c>
      <c r="M41" s="55">
        <f>0</f>
        <v>0</v>
      </c>
      <c r="N41" s="55">
        <f>0</f>
        <v>0</v>
      </c>
      <c r="O41" s="55">
        <f>0</f>
        <v>0</v>
      </c>
      <c r="P41" s="55">
        <f>0</f>
        <v>0</v>
      </c>
      <c r="Q41" s="55">
        <f>0</f>
        <v>0</v>
      </c>
      <c r="R41" s="55">
        <f>0</f>
        <v>0</v>
      </c>
      <c r="S41" s="55">
        <f>0</f>
        <v>0</v>
      </c>
      <c r="T41" s="55">
        <f>0</f>
        <v>0</v>
      </c>
    </row>
    <row r="42" spans="1:20" ht="25.5" customHeight="1" outlineLevel="3">
      <c r="A42" s="374" t="s">
        <v>31</v>
      </c>
      <c r="B42" s="46" t="s">
        <v>87</v>
      </c>
      <c r="C42" s="353"/>
      <c r="D42" s="356" t="s">
        <v>233</v>
      </c>
      <c r="E42" s="86">
        <f>0</f>
        <v>0</v>
      </c>
      <c r="F42" s="52">
        <f>0</f>
        <v>0</v>
      </c>
      <c r="G42" s="52">
        <f>3843710</f>
        <v>3843710</v>
      </c>
      <c r="H42" s="53">
        <f>0</f>
        <v>0</v>
      </c>
      <c r="I42" s="54">
        <f>0</f>
        <v>0</v>
      </c>
      <c r="J42" s="55">
        <f>0</f>
        <v>0</v>
      </c>
      <c r="K42" s="55">
        <f>0</f>
        <v>0</v>
      </c>
      <c r="L42" s="55">
        <f>0</f>
        <v>0</v>
      </c>
      <c r="M42" s="55">
        <f>0</f>
        <v>0</v>
      </c>
      <c r="N42" s="55">
        <f>0</f>
        <v>0</v>
      </c>
      <c r="O42" s="55">
        <f>0</f>
        <v>0</v>
      </c>
      <c r="P42" s="55">
        <f>0</f>
        <v>0</v>
      </c>
      <c r="Q42" s="55">
        <f>0</f>
        <v>0</v>
      </c>
      <c r="R42" s="55">
        <f>0</f>
        <v>0</v>
      </c>
      <c r="S42" s="55">
        <f>0</f>
        <v>0</v>
      </c>
      <c r="T42" s="55">
        <f>0</f>
        <v>0</v>
      </c>
    </row>
    <row r="43" spans="2:20" ht="15" customHeight="1" outlineLevel="2">
      <c r="B43" s="46" t="s">
        <v>173</v>
      </c>
      <c r="C43" s="353"/>
      <c r="D43" s="354" t="s">
        <v>234</v>
      </c>
      <c r="E43" s="86">
        <f>0</f>
        <v>0</v>
      </c>
      <c r="F43" s="52">
        <f>0</f>
        <v>0</v>
      </c>
      <c r="G43" s="52">
        <f>262990</f>
        <v>262990</v>
      </c>
      <c r="H43" s="53">
        <f>180996</f>
        <v>180996</v>
      </c>
      <c r="I43" s="54">
        <f>0</f>
        <v>0</v>
      </c>
      <c r="J43" s="55">
        <f>0</f>
        <v>0</v>
      </c>
      <c r="K43" s="55">
        <f>0</f>
        <v>0</v>
      </c>
      <c r="L43" s="55">
        <f>0</f>
        <v>0</v>
      </c>
      <c r="M43" s="55">
        <f>0</f>
        <v>0</v>
      </c>
      <c r="N43" s="55">
        <f>0</f>
        <v>0</v>
      </c>
      <c r="O43" s="55">
        <f>0</f>
        <v>0</v>
      </c>
      <c r="P43" s="55">
        <f>0</f>
        <v>0</v>
      </c>
      <c r="Q43" s="55">
        <f>0</f>
        <v>0</v>
      </c>
      <c r="R43" s="55">
        <f>0</f>
        <v>0</v>
      </c>
      <c r="S43" s="55">
        <f>0</f>
        <v>0</v>
      </c>
      <c r="T43" s="55">
        <f>0</f>
        <v>0</v>
      </c>
    </row>
    <row r="44" spans="1:20" ht="15" customHeight="1" outlineLevel="1">
      <c r="A44" s="374" t="s">
        <v>31</v>
      </c>
      <c r="B44" s="45">
        <v>6</v>
      </c>
      <c r="C44" s="375"/>
      <c r="D44" s="352" t="s">
        <v>27</v>
      </c>
      <c r="E44" s="85">
        <f>9974629.2</f>
        <v>9974629.2</v>
      </c>
      <c r="F44" s="48">
        <f>12551075.58</f>
        <v>12551075.58</v>
      </c>
      <c r="G44" s="48">
        <f>8117585</f>
        <v>8117585</v>
      </c>
      <c r="H44" s="49">
        <f>7854595.09</f>
        <v>7854595.09</v>
      </c>
      <c r="I44" s="50">
        <f>7019460</f>
        <v>7019460</v>
      </c>
      <c r="J44" s="51">
        <f>6984425</f>
        <v>6984425</v>
      </c>
      <c r="K44" s="51">
        <f>6610390</f>
        <v>6610390</v>
      </c>
      <c r="L44" s="51">
        <f>5695255</f>
        <v>5695255</v>
      </c>
      <c r="M44" s="51">
        <f>4780120</f>
        <v>4780120</v>
      </c>
      <c r="N44" s="51">
        <f>3914605</f>
        <v>3914605</v>
      </c>
      <c r="O44" s="51">
        <f>3139054</f>
        <v>3139054</v>
      </c>
      <c r="P44" s="51">
        <f>2557503</f>
        <v>2557503</v>
      </c>
      <c r="Q44" s="51">
        <f>1840652</f>
        <v>1840652</v>
      </c>
      <c r="R44" s="51">
        <f>1123801</f>
        <v>1123801</v>
      </c>
      <c r="S44" s="51">
        <f>454350</f>
        <v>454350</v>
      </c>
      <c r="T44" s="51">
        <f>0</f>
        <v>0</v>
      </c>
    </row>
    <row r="45" spans="2:20" ht="25.5" customHeight="1" outlineLevel="2">
      <c r="B45" s="46" t="s">
        <v>174</v>
      </c>
      <c r="C45" s="353"/>
      <c r="D45" s="354" t="s">
        <v>454</v>
      </c>
      <c r="E45" s="86">
        <f>0</f>
        <v>0</v>
      </c>
      <c r="F45" s="52">
        <f>0</f>
        <v>0</v>
      </c>
      <c r="G45" s="52">
        <f>0</f>
        <v>0</v>
      </c>
      <c r="H45" s="53">
        <f>0</f>
        <v>0</v>
      </c>
      <c r="I45" s="54">
        <f>0</f>
        <v>0</v>
      </c>
      <c r="J45" s="55">
        <f>0</f>
        <v>0</v>
      </c>
      <c r="K45" s="55">
        <f>0</f>
        <v>0</v>
      </c>
      <c r="L45" s="55">
        <f>0</f>
        <v>0</v>
      </c>
      <c r="M45" s="55">
        <f>0</f>
        <v>0</v>
      </c>
      <c r="N45" s="55">
        <f>0</f>
        <v>0</v>
      </c>
      <c r="O45" s="55">
        <f>0</f>
        <v>0</v>
      </c>
      <c r="P45" s="55">
        <f>0</f>
        <v>0</v>
      </c>
      <c r="Q45" s="55">
        <f>0</f>
        <v>0</v>
      </c>
      <c r="R45" s="55">
        <f>0</f>
        <v>0</v>
      </c>
      <c r="S45" s="55">
        <f>0</f>
        <v>0</v>
      </c>
      <c r="T45" s="55">
        <f>0</f>
        <v>0</v>
      </c>
    </row>
    <row r="46" spans="2:20" ht="15" customHeight="1" outlineLevel="3">
      <c r="B46" s="46" t="s">
        <v>91</v>
      </c>
      <c r="C46" s="353"/>
      <c r="D46" s="355" t="s">
        <v>433</v>
      </c>
      <c r="E46" s="86">
        <f>2412650.19</f>
        <v>2412650.19</v>
      </c>
      <c r="F46" s="52">
        <f>3891345</f>
        <v>3891345</v>
      </c>
      <c r="G46" s="52">
        <f>0</f>
        <v>0</v>
      </c>
      <c r="H46" s="53">
        <f>0</f>
        <v>0</v>
      </c>
      <c r="I46" s="54">
        <f>0</f>
        <v>0</v>
      </c>
      <c r="J46" s="55">
        <f>0</f>
        <v>0</v>
      </c>
      <c r="K46" s="55">
        <f>0</f>
        <v>0</v>
      </c>
      <c r="L46" s="55">
        <f>0</f>
        <v>0</v>
      </c>
      <c r="M46" s="55">
        <f>0</f>
        <v>0</v>
      </c>
      <c r="N46" s="55">
        <f>0</f>
        <v>0</v>
      </c>
      <c r="O46" s="55">
        <f>0</f>
        <v>0</v>
      </c>
      <c r="P46" s="55">
        <f>0</f>
        <v>0</v>
      </c>
      <c r="Q46" s="55">
        <f>0</f>
        <v>0</v>
      </c>
      <c r="R46" s="55">
        <f>0</f>
        <v>0</v>
      </c>
      <c r="S46" s="55">
        <f>0</f>
        <v>0</v>
      </c>
      <c r="T46" s="55">
        <f>0</f>
        <v>0</v>
      </c>
    </row>
    <row r="47" spans="2:20" ht="25.5" customHeight="1" outlineLevel="2">
      <c r="B47" s="46" t="s">
        <v>175</v>
      </c>
      <c r="C47" s="353"/>
      <c r="D47" s="354" t="s">
        <v>455</v>
      </c>
      <c r="E47" s="88">
        <f>0.5637</f>
        <v>0.5637</v>
      </c>
      <c r="F47" s="60">
        <f>0.649</f>
        <v>0.649</v>
      </c>
      <c r="G47" s="60">
        <f>0.3122</f>
        <v>0.3122</v>
      </c>
      <c r="H47" s="61">
        <f>0.3187</f>
        <v>0.3187</v>
      </c>
      <c r="I47" s="62">
        <f>0.3187</f>
        <v>0.3187</v>
      </c>
      <c r="J47" s="63">
        <f>0.3519</f>
        <v>0.3519</v>
      </c>
      <c r="K47" s="63">
        <f>0.3151</f>
        <v>0.3151</v>
      </c>
      <c r="L47" s="63">
        <f>0.2751</f>
        <v>0.2751</v>
      </c>
      <c r="M47" s="63">
        <f>0.2244</f>
        <v>0.2244</v>
      </c>
      <c r="N47" s="63">
        <f>0.1787</f>
        <v>0.1787</v>
      </c>
      <c r="O47" s="63">
        <f>0.1395</f>
        <v>0.1395</v>
      </c>
      <c r="P47" s="63">
        <f>0.1112</f>
        <v>0.1112</v>
      </c>
      <c r="Q47" s="63">
        <f>0.0784</f>
        <v>0.0784</v>
      </c>
      <c r="R47" s="63">
        <f>0.0469</f>
        <v>0.0469</v>
      </c>
      <c r="S47" s="63">
        <f>0.0186</f>
        <v>0.0186</v>
      </c>
      <c r="T47" s="63">
        <f>0</f>
        <v>0</v>
      </c>
    </row>
    <row r="48" spans="2:20" ht="25.5" customHeight="1" outlineLevel="2">
      <c r="B48" s="46" t="s">
        <v>176</v>
      </c>
      <c r="C48" s="353"/>
      <c r="D48" s="354" t="s">
        <v>456</v>
      </c>
      <c r="E48" s="88">
        <f>0.5637</f>
        <v>0.5637</v>
      </c>
      <c r="F48" s="60">
        <f>0.649</f>
        <v>0.649</v>
      </c>
      <c r="G48" s="60">
        <f>0.3122</f>
        <v>0.3122</v>
      </c>
      <c r="H48" s="61">
        <f>0.3187</f>
        <v>0.3187</v>
      </c>
      <c r="I48" s="62">
        <f>0.3187</f>
        <v>0.3187</v>
      </c>
      <c r="J48" s="63">
        <f>0.3519</f>
        <v>0.3519</v>
      </c>
      <c r="K48" s="63">
        <f>0.3151</f>
        <v>0.3151</v>
      </c>
      <c r="L48" s="63">
        <f>0.2751</f>
        <v>0.2751</v>
      </c>
      <c r="M48" s="63">
        <f>0.2244</f>
        <v>0.2244</v>
      </c>
      <c r="N48" s="63">
        <f>0.1787</f>
        <v>0.1787</v>
      </c>
      <c r="O48" s="63">
        <f>0.1395</f>
        <v>0.1395</v>
      </c>
      <c r="P48" s="63">
        <f>0.1112</f>
        <v>0.1112</v>
      </c>
      <c r="Q48" s="63">
        <f>0.0784</f>
        <v>0.0784</v>
      </c>
      <c r="R48" s="63">
        <f>0.0469</f>
        <v>0.0469</v>
      </c>
      <c r="S48" s="63">
        <f>0.0186</f>
        <v>0.0186</v>
      </c>
      <c r="T48" s="63">
        <f>0</f>
        <v>0</v>
      </c>
    </row>
    <row r="49" spans="2:20" ht="39" customHeight="1" outlineLevel="1">
      <c r="B49" s="45">
        <v>7</v>
      </c>
      <c r="C49" s="375"/>
      <c r="D49" s="352" t="s">
        <v>276</v>
      </c>
      <c r="E49" s="85">
        <f>0</f>
        <v>0</v>
      </c>
      <c r="F49" s="48">
        <f>0</f>
        <v>0</v>
      </c>
      <c r="G49" s="48">
        <f>0</f>
        <v>0</v>
      </c>
      <c r="H49" s="49">
        <f>0</f>
        <v>0</v>
      </c>
      <c r="I49" s="50">
        <f>0</f>
        <v>0</v>
      </c>
      <c r="J49" s="51">
        <f>0</f>
        <v>0</v>
      </c>
      <c r="K49" s="51">
        <f>0</f>
        <v>0</v>
      </c>
      <c r="L49" s="51">
        <f>0</f>
        <v>0</v>
      </c>
      <c r="M49" s="51">
        <f>0</f>
        <v>0</v>
      </c>
      <c r="N49" s="51">
        <f>0</f>
        <v>0</v>
      </c>
      <c r="O49" s="51">
        <f>0</f>
        <v>0</v>
      </c>
      <c r="P49" s="51">
        <f>0</f>
        <v>0</v>
      </c>
      <c r="Q49" s="51">
        <f>0</f>
        <v>0</v>
      </c>
      <c r="R49" s="51">
        <f>0</f>
        <v>0</v>
      </c>
      <c r="S49" s="51">
        <f>0</f>
        <v>0</v>
      </c>
      <c r="T49" s="51">
        <f>0</f>
        <v>0</v>
      </c>
    </row>
    <row r="50" spans="2:20" ht="15" customHeight="1" outlineLevel="1">
      <c r="B50" s="45">
        <v>8</v>
      </c>
      <c r="C50" s="375"/>
      <c r="D50" s="352" t="s">
        <v>177</v>
      </c>
      <c r="E50" s="89" t="s">
        <v>31</v>
      </c>
      <c r="F50" s="64" t="s">
        <v>31</v>
      </c>
      <c r="G50" s="64" t="s">
        <v>31</v>
      </c>
      <c r="H50" s="65" t="s">
        <v>31</v>
      </c>
      <c r="I50" s="66" t="s">
        <v>31</v>
      </c>
      <c r="J50" s="67" t="s">
        <v>31</v>
      </c>
      <c r="K50" s="67" t="s">
        <v>31</v>
      </c>
      <c r="L50" s="67" t="s">
        <v>31</v>
      </c>
      <c r="M50" s="67" t="s">
        <v>31</v>
      </c>
      <c r="N50" s="67" t="s">
        <v>31</v>
      </c>
      <c r="O50" s="67" t="s">
        <v>31</v>
      </c>
      <c r="P50" s="67" t="s">
        <v>31</v>
      </c>
      <c r="Q50" s="67" t="s">
        <v>31</v>
      </c>
      <c r="R50" s="67" t="s">
        <v>31</v>
      </c>
      <c r="S50" s="67" t="s">
        <v>31</v>
      </c>
      <c r="T50" s="67" t="s">
        <v>31</v>
      </c>
    </row>
    <row r="51" spans="2:20" ht="15" customHeight="1" outlineLevel="2">
      <c r="B51" s="46" t="s">
        <v>178</v>
      </c>
      <c r="C51" s="353"/>
      <c r="D51" s="354" t="s">
        <v>275</v>
      </c>
      <c r="E51" s="86">
        <f>1358915.02</f>
        <v>1358915.02</v>
      </c>
      <c r="F51" s="52">
        <f>2751972.83</f>
        <v>2751972.83</v>
      </c>
      <c r="G51" s="52">
        <f>22721</f>
        <v>22721</v>
      </c>
      <c r="H51" s="53">
        <f>897103.21</f>
        <v>897103.21</v>
      </c>
      <c r="I51" s="54">
        <f>180585</f>
        <v>180585</v>
      </c>
      <c r="J51" s="55">
        <f>693045</f>
        <v>693045</v>
      </c>
      <c r="K51" s="55">
        <f>1246025</f>
        <v>1246025</v>
      </c>
      <c r="L51" s="55">
        <f>1499000</f>
        <v>1499000</v>
      </c>
      <c r="M51" s="55">
        <f>1770000</f>
        <v>1770000</v>
      </c>
      <c r="N51" s="55">
        <f>2016000</f>
        <v>2016000</v>
      </c>
      <c r="O51" s="55">
        <f>2253000</f>
        <v>2253000</v>
      </c>
      <c r="P51" s="55">
        <f>2400000</f>
        <v>2400000</v>
      </c>
      <c r="Q51" s="55">
        <f>2689000</f>
        <v>2689000</v>
      </c>
      <c r="R51" s="55">
        <f>2983000</f>
        <v>2983000</v>
      </c>
      <c r="S51" s="55">
        <f>3280000</f>
        <v>3280000</v>
      </c>
      <c r="T51" s="55">
        <f>3574000</f>
        <v>3574000</v>
      </c>
    </row>
    <row r="52" spans="2:20" ht="39" customHeight="1" outlineLevel="2">
      <c r="B52" s="46" t="s">
        <v>179</v>
      </c>
      <c r="C52" s="353"/>
      <c r="D52" s="354" t="s">
        <v>457</v>
      </c>
      <c r="E52" s="86">
        <f>1358915.02</f>
        <v>1358915.02</v>
      </c>
      <c r="F52" s="52">
        <f>2751972.83</f>
        <v>2751972.83</v>
      </c>
      <c r="G52" s="52">
        <f>1111707</f>
        <v>1111707</v>
      </c>
      <c r="H52" s="53">
        <f>1986089.65</f>
        <v>1986089.65</v>
      </c>
      <c r="I52" s="54">
        <f>496466</f>
        <v>496466</v>
      </c>
      <c r="J52" s="55">
        <f>693045</f>
        <v>693045</v>
      </c>
      <c r="K52" s="55">
        <f>1246025</f>
        <v>1246025</v>
      </c>
      <c r="L52" s="55">
        <f>1499000</f>
        <v>1499000</v>
      </c>
      <c r="M52" s="55">
        <f>1770000</f>
        <v>1770000</v>
      </c>
      <c r="N52" s="55">
        <f>2016000</f>
        <v>2016000</v>
      </c>
      <c r="O52" s="55">
        <f>2253000</f>
        <v>2253000</v>
      </c>
      <c r="P52" s="55">
        <f>2400000</f>
        <v>2400000</v>
      </c>
      <c r="Q52" s="55">
        <f>2689000</f>
        <v>2689000</v>
      </c>
      <c r="R52" s="55">
        <f>2983000</f>
        <v>2983000</v>
      </c>
      <c r="S52" s="55">
        <f>3280000</f>
        <v>3280000</v>
      </c>
      <c r="T52" s="55">
        <f>3574000</f>
        <v>3574000</v>
      </c>
    </row>
    <row r="53" spans="1:20" ht="15" customHeight="1" outlineLevel="1">
      <c r="A53" s="374" t="s">
        <v>31</v>
      </c>
      <c r="B53" s="45">
        <v>9</v>
      </c>
      <c r="C53" s="375"/>
      <c r="D53" s="352" t="s">
        <v>180</v>
      </c>
      <c r="E53" s="89" t="s">
        <v>31</v>
      </c>
      <c r="F53" s="64" t="s">
        <v>31</v>
      </c>
      <c r="G53" s="64" t="s">
        <v>31</v>
      </c>
      <c r="H53" s="65" t="s">
        <v>31</v>
      </c>
      <c r="I53" s="66" t="s">
        <v>31</v>
      </c>
      <c r="J53" s="67" t="s">
        <v>31</v>
      </c>
      <c r="K53" s="67" t="s">
        <v>31</v>
      </c>
      <c r="L53" s="67" t="s">
        <v>31</v>
      </c>
      <c r="M53" s="67" t="s">
        <v>31</v>
      </c>
      <c r="N53" s="67" t="s">
        <v>31</v>
      </c>
      <c r="O53" s="67" t="s">
        <v>31</v>
      </c>
      <c r="P53" s="67" t="s">
        <v>31</v>
      </c>
      <c r="Q53" s="67" t="s">
        <v>31</v>
      </c>
      <c r="R53" s="67" t="s">
        <v>31</v>
      </c>
      <c r="S53" s="67" t="s">
        <v>31</v>
      </c>
      <c r="T53" s="67" t="s">
        <v>31</v>
      </c>
    </row>
    <row r="54" spans="2:20" ht="25.5" customHeight="1" outlineLevel="2">
      <c r="B54" s="46" t="s">
        <v>181</v>
      </c>
      <c r="C54" s="353"/>
      <c r="D54" s="354" t="s">
        <v>458</v>
      </c>
      <c r="E54" s="88">
        <f>0.0407</f>
        <v>0.0407</v>
      </c>
      <c r="F54" s="60">
        <f>0.0536</f>
        <v>0.0536</v>
      </c>
      <c r="G54" s="60">
        <f>0.2008</f>
        <v>0.2008</v>
      </c>
      <c r="H54" s="61">
        <f>0.2101</f>
        <v>0.2101</v>
      </c>
      <c r="I54" s="62">
        <f>0.0586</f>
        <v>0.0586</v>
      </c>
      <c r="J54" s="63">
        <f>0.0626</f>
        <v>0.0626</v>
      </c>
      <c r="K54" s="63">
        <f>0.0574</f>
        <v>0.0574</v>
      </c>
      <c r="L54" s="63">
        <f>0.06</f>
        <v>0.06</v>
      </c>
      <c r="M54" s="63">
        <f>0.0563</f>
        <v>0.0563</v>
      </c>
      <c r="N54" s="63">
        <f>0.0507</f>
        <v>0.0507</v>
      </c>
      <c r="O54" s="63">
        <f>0.0434</f>
        <v>0.0434</v>
      </c>
      <c r="P54" s="63">
        <f>0.0324</f>
        <v>0.0324</v>
      </c>
      <c r="Q54" s="63">
        <f>0.0361</f>
        <v>0.0361</v>
      </c>
      <c r="R54" s="63">
        <f>0.0337</f>
        <v>0.0337</v>
      </c>
      <c r="S54" s="63">
        <f>0.0295</f>
        <v>0.0295</v>
      </c>
      <c r="T54" s="63">
        <f>0.019</f>
        <v>0.019</v>
      </c>
    </row>
    <row r="55" spans="2:20" ht="25.5" customHeight="1" outlineLevel="2">
      <c r="B55" s="46" t="s">
        <v>182</v>
      </c>
      <c r="C55" s="353"/>
      <c r="D55" s="354" t="s">
        <v>235</v>
      </c>
      <c r="E55" s="88">
        <f>0.0407</f>
        <v>0.0407</v>
      </c>
      <c r="F55" s="60">
        <f>0.0536</f>
        <v>0.0536</v>
      </c>
      <c r="G55" s="60">
        <f>0.2008</f>
        <v>0.2008</v>
      </c>
      <c r="H55" s="61">
        <f>0.0541</f>
        <v>0.0541</v>
      </c>
      <c r="I55" s="62">
        <f>0.0586</f>
        <v>0.0586</v>
      </c>
      <c r="J55" s="63">
        <f>0.0626</f>
        <v>0.0626</v>
      </c>
      <c r="K55" s="63">
        <f>0.0574</f>
        <v>0.0574</v>
      </c>
      <c r="L55" s="63">
        <f>0.06</f>
        <v>0.06</v>
      </c>
      <c r="M55" s="63">
        <f>0.0563</f>
        <v>0.0563</v>
      </c>
      <c r="N55" s="63">
        <f>0.0507</f>
        <v>0.0507</v>
      </c>
      <c r="O55" s="63">
        <f>0.0434</f>
        <v>0.0434</v>
      </c>
      <c r="P55" s="63">
        <f>0.0324</f>
        <v>0.0324</v>
      </c>
      <c r="Q55" s="63">
        <f>0.0361</f>
        <v>0.0361</v>
      </c>
      <c r="R55" s="63">
        <f>0.0337</f>
        <v>0.0337</v>
      </c>
      <c r="S55" s="63">
        <f>0.0295</f>
        <v>0.0295</v>
      </c>
      <c r="T55" s="63">
        <f>0.019</f>
        <v>0.019</v>
      </c>
    </row>
    <row r="56" spans="1:20" ht="38.25" customHeight="1" outlineLevel="2">
      <c r="A56" s="374" t="s">
        <v>31</v>
      </c>
      <c r="B56" s="46" t="s">
        <v>183</v>
      </c>
      <c r="C56" s="353"/>
      <c r="D56" s="354" t="s">
        <v>237</v>
      </c>
      <c r="E56" s="88">
        <f>0.0407</f>
        <v>0.0407</v>
      </c>
      <c r="F56" s="60">
        <f>0.0536</f>
        <v>0.0536</v>
      </c>
      <c r="G56" s="60">
        <f>0.2008</f>
        <v>0.2008</v>
      </c>
      <c r="H56" s="61">
        <f>0.2101</f>
        <v>0.2101</v>
      </c>
      <c r="I56" s="62">
        <f>0.0586</f>
        <v>0.0586</v>
      </c>
      <c r="J56" s="63">
        <f>0.0626</f>
        <v>0.0626</v>
      </c>
      <c r="K56" s="63">
        <f>0.0574</f>
        <v>0.0574</v>
      </c>
      <c r="L56" s="63">
        <f>0.06</f>
        <v>0.06</v>
      </c>
      <c r="M56" s="63">
        <f>0.0563</f>
        <v>0.0563</v>
      </c>
      <c r="N56" s="63">
        <f>0.0507</f>
        <v>0.0507</v>
      </c>
      <c r="O56" s="63">
        <f>0.0434</f>
        <v>0.0434</v>
      </c>
      <c r="P56" s="63">
        <f>0.0324</f>
        <v>0.0324</v>
      </c>
      <c r="Q56" s="63">
        <f>0.0361</f>
        <v>0.0361</v>
      </c>
      <c r="R56" s="63">
        <f>0.0337</f>
        <v>0.0337</v>
      </c>
      <c r="S56" s="63">
        <f>0.0295</f>
        <v>0.0295</v>
      </c>
      <c r="T56" s="63">
        <f>0.019</f>
        <v>0.019</v>
      </c>
    </row>
    <row r="57" spans="1:20" ht="38.25" customHeight="1" outlineLevel="2">
      <c r="A57" s="374" t="s">
        <v>31</v>
      </c>
      <c r="B57" s="46" t="s">
        <v>184</v>
      </c>
      <c r="C57" s="353"/>
      <c r="D57" s="354" t="s">
        <v>236</v>
      </c>
      <c r="E57" s="88">
        <f>0.0407</f>
        <v>0.0407</v>
      </c>
      <c r="F57" s="60">
        <f>0.0536</f>
        <v>0.0536</v>
      </c>
      <c r="G57" s="60">
        <f>0.2008</f>
        <v>0.2008</v>
      </c>
      <c r="H57" s="61">
        <f>0.0541</f>
        <v>0.0541</v>
      </c>
      <c r="I57" s="62">
        <f>0.0586</f>
        <v>0.0586</v>
      </c>
      <c r="J57" s="63">
        <f>0.0626</f>
        <v>0.0626</v>
      </c>
      <c r="K57" s="63">
        <f>0.0574</f>
        <v>0.0574</v>
      </c>
      <c r="L57" s="63">
        <f>0.06</f>
        <v>0.06</v>
      </c>
      <c r="M57" s="63">
        <f>0.0563</f>
        <v>0.0563</v>
      </c>
      <c r="N57" s="63">
        <f>0.0507</f>
        <v>0.0507</v>
      </c>
      <c r="O57" s="63">
        <f>0.0434</f>
        <v>0.0434</v>
      </c>
      <c r="P57" s="63">
        <f>0.0324</f>
        <v>0.0324</v>
      </c>
      <c r="Q57" s="63">
        <f>0.0361</f>
        <v>0.0361</v>
      </c>
      <c r="R57" s="63">
        <f>0.0337</f>
        <v>0.0337</v>
      </c>
      <c r="S57" s="63">
        <f>0.0295</f>
        <v>0.0295</v>
      </c>
      <c r="T57" s="63">
        <f>0.019</f>
        <v>0.019</v>
      </c>
    </row>
    <row r="58" spans="1:20" ht="25.5" customHeight="1" outlineLevel="2">
      <c r="A58" s="374" t="s">
        <v>31</v>
      </c>
      <c r="B58" s="46" t="s">
        <v>185</v>
      </c>
      <c r="C58" s="353"/>
      <c r="D58" s="354" t="s">
        <v>238</v>
      </c>
      <c r="E58" s="86">
        <f>0</f>
        <v>0</v>
      </c>
      <c r="F58" s="52">
        <f>0</f>
        <v>0</v>
      </c>
      <c r="G58" s="52">
        <f>0</f>
        <v>0</v>
      </c>
      <c r="H58" s="53">
        <f>0</f>
        <v>0</v>
      </c>
      <c r="I58" s="54">
        <f>0</f>
        <v>0</v>
      </c>
      <c r="J58" s="55">
        <f>0</f>
        <v>0</v>
      </c>
      <c r="K58" s="55">
        <f>0</f>
        <v>0</v>
      </c>
      <c r="L58" s="55">
        <f>0</f>
        <v>0</v>
      </c>
      <c r="M58" s="55">
        <f>0</f>
        <v>0</v>
      </c>
      <c r="N58" s="55">
        <f>0</f>
        <v>0</v>
      </c>
      <c r="O58" s="55">
        <f>0</f>
        <v>0</v>
      </c>
      <c r="P58" s="55">
        <f>0</f>
        <v>0</v>
      </c>
      <c r="Q58" s="55">
        <f>0</f>
        <v>0</v>
      </c>
      <c r="R58" s="55">
        <f>0</f>
        <v>0</v>
      </c>
      <c r="S58" s="55">
        <f>0</f>
        <v>0</v>
      </c>
      <c r="T58" s="55">
        <f>0</f>
        <v>0</v>
      </c>
    </row>
    <row r="59" spans="1:20" ht="38.25" customHeight="1" outlineLevel="2">
      <c r="A59" s="374" t="s">
        <v>31</v>
      </c>
      <c r="B59" s="46" t="s">
        <v>186</v>
      </c>
      <c r="C59" s="353"/>
      <c r="D59" s="354" t="s">
        <v>239</v>
      </c>
      <c r="E59" s="88">
        <f>0.0407</f>
        <v>0.0407</v>
      </c>
      <c r="F59" s="60">
        <f>0.0536</f>
        <v>0.0536</v>
      </c>
      <c r="G59" s="60">
        <f>0.2008</f>
        <v>0.2008</v>
      </c>
      <c r="H59" s="61">
        <f>0.0541</f>
        <v>0.0541</v>
      </c>
      <c r="I59" s="62">
        <f>0.0586</f>
        <v>0.0586</v>
      </c>
      <c r="J59" s="63">
        <f>0.0626</f>
        <v>0.0626</v>
      </c>
      <c r="K59" s="63">
        <f>0.0574</f>
        <v>0.0574</v>
      </c>
      <c r="L59" s="63">
        <f>0.06</f>
        <v>0.06</v>
      </c>
      <c r="M59" s="63">
        <f>0.0563</f>
        <v>0.0563</v>
      </c>
      <c r="N59" s="63">
        <f>0.0507</f>
        <v>0.0507</v>
      </c>
      <c r="O59" s="63">
        <f>0.0434</f>
        <v>0.0434</v>
      </c>
      <c r="P59" s="63">
        <f>0.0324</f>
        <v>0.0324</v>
      </c>
      <c r="Q59" s="63">
        <f>0.0361</f>
        <v>0.0361</v>
      </c>
      <c r="R59" s="63">
        <f>0.0337</f>
        <v>0.0337</v>
      </c>
      <c r="S59" s="63">
        <f>0.0295</f>
        <v>0.0295</v>
      </c>
      <c r="T59" s="63">
        <f>0.019</f>
        <v>0.019</v>
      </c>
    </row>
    <row r="60" spans="1:20" ht="15" customHeight="1" outlineLevel="3">
      <c r="A60" s="374" t="s">
        <v>31</v>
      </c>
      <c r="B60" s="143" t="s">
        <v>103</v>
      </c>
      <c r="C60" s="144"/>
      <c r="D60" s="369" t="s">
        <v>445</v>
      </c>
      <c r="E60" s="88">
        <f>+IF(E10&lt;&gt;0,(E11+E19-E22)/E10,0)</f>
        <v>0.11835289681044488</v>
      </c>
      <c r="F60" s="60">
        <f>+IF(F10&lt;&gt;0,(F11+F19-F22)/F10,0)</f>
        <v>0.17384219246737212</v>
      </c>
      <c r="G60" s="60">
        <f>+IF(G10&lt;&gt;0,(G11+G19-G22)/G10,0)</f>
        <v>0.11029587997477454</v>
      </c>
      <c r="H60" s="61">
        <f>+IF(H10&lt;&gt;0,(H11+H19-H22)/H10,0)</f>
        <v>0.12748031397648724</v>
      </c>
      <c r="I60" s="62">
        <f>+IF(I10&lt;&gt;0,(I11+I19-I22)/I10,0)</f>
        <v>0.07372325672893064</v>
      </c>
      <c r="J60" s="63">
        <f aca="true" t="shared" si="0" ref="J60:T60">+IF(J10&lt;&gt;0,(J11+J19-J22)/J10,0)</f>
        <v>0.06262177239396687</v>
      </c>
      <c r="K60" s="63">
        <f t="shared" si="0"/>
        <v>0.07493326659993327</v>
      </c>
      <c r="L60" s="63">
        <f t="shared" si="0"/>
        <v>0.07241545893719807</v>
      </c>
      <c r="M60" s="63">
        <f t="shared" si="0"/>
        <v>0.08309859154929577</v>
      </c>
      <c r="N60" s="63">
        <f t="shared" si="0"/>
        <v>0.09205479452054795</v>
      </c>
      <c r="O60" s="63">
        <f t="shared" si="0"/>
        <v>0.10013333333333334</v>
      </c>
      <c r="P60" s="63">
        <f t="shared" si="0"/>
        <v>0.10434782608695652</v>
      </c>
      <c r="Q60" s="63">
        <f t="shared" si="0"/>
        <v>0.11458155786603035</v>
      </c>
      <c r="R60" s="63">
        <f t="shared" si="0"/>
        <v>0.12461879099302335</v>
      </c>
      <c r="S60" s="63">
        <f t="shared" si="0"/>
        <v>0.1343381389252949</v>
      </c>
      <c r="T60" s="63">
        <f t="shared" si="0"/>
        <v>0.14353413654618474</v>
      </c>
    </row>
    <row r="61" spans="1:20" ht="38.25" customHeight="1" outlineLevel="2">
      <c r="A61" s="374" t="s">
        <v>31</v>
      </c>
      <c r="B61" s="46" t="s">
        <v>187</v>
      </c>
      <c r="C61" s="353"/>
      <c r="D61" s="354" t="s">
        <v>459</v>
      </c>
      <c r="E61" s="89" t="s">
        <v>31</v>
      </c>
      <c r="F61" s="64" t="s">
        <v>31</v>
      </c>
      <c r="G61" s="64" t="s">
        <v>31</v>
      </c>
      <c r="H61" s="65" t="s">
        <v>31</v>
      </c>
      <c r="I61" s="62">
        <f>0.1342</f>
        <v>0.1342</v>
      </c>
      <c r="J61" s="63">
        <f>0.1193</f>
        <v>0.1193</v>
      </c>
      <c r="K61" s="63">
        <f>0.0822</f>
        <v>0.0822</v>
      </c>
      <c r="L61" s="63">
        <f>0.0704</f>
        <v>0.0704</v>
      </c>
      <c r="M61" s="63">
        <f>0.07</f>
        <v>0.07</v>
      </c>
      <c r="N61" s="63">
        <f>0.0768</f>
        <v>0.0768</v>
      </c>
      <c r="O61" s="63">
        <f>0.0825</f>
        <v>0.0825</v>
      </c>
      <c r="P61" s="63">
        <f>0.0918</f>
        <v>0.0918</v>
      </c>
      <c r="Q61" s="63">
        <f>0.0988</f>
        <v>0.0988</v>
      </c>
      <c r="R61" s="63">
        <f>0.1063</f>
        <v>0.1063</v>
      </c>
      <c r="S61" s="63">
        <f>0.1145</f>
        <v>0.1145</v>
      </c>
      <c r="T61" s="63">
        <f>0.1245</f>
        <v>0.1245</v>
      </c>
    </row>
    <row r="62" spans="1:20" ht="38.25" customHeight="1" outlineLevel="2">
      <c r="A62" s="374" t="s">
        <v>31</v>
      </c>
      <c r="B62" s="46" t="s">
        <v>106</v>
      </c>
      <c r="C62" s="353"/>
      <c r="D62" s="355" t="s">
        <v>460</v>
      </c>
      <c r="E62" s="89" t="s">
        <v>31</v>
      </c>
      <c r="F62" s="64" t="s">
        <v>31</v>
      </c>
      <c r="G62" s="64" t="s">
        <v>31</v>
      </c>
      <c r="H62" s="65" t="s">
        <v>31</v>
      </c>
      <c r="I62" s="62">
        <f>0.1399</f>
        <v>0.1399</v>
      </c>
      <c r="J62" s="63">
        <f>0.125</f>
        <v>0.125</v>
      </c>
      <c r="K62" s="63">
        <f>0.0879</f>
        <v>0.0879</v>
      </c>
      <c r="L62" s="63">
        <f>0.0704</f>
        <v>0.0704</v>
      </c>
      <c r="M62" s="63">
        <f>0.07</f>
        <v>0.07</v>
      </c>
      <c r="N62" s="63">
        <f>0.0768</f>
        <v>0.0768</v>
      </c>
      <c r="O62" s="63">
        <f>0.0825</f>
        <v>0.0825</v>
      </c>
      <c r="P62" s="63">
        <f>0.0918</f>
        <v>0.0918</v>
      </c>
      <c r="Q62" s="63">
        <f>0.0988</f>
        <v>0.0988</v>
      </c>
      <c r="R62" s="63">
        <f>0.1063</f>
        <v>0.1063</v>
      </c>
      <c r="S62" s="63">
        <f>0.1145</f>
        <v>0.1145</v>
      </c>
      <c r="T62" s="63">
        <f>0.1245</f>
        <v>0.1245</v>
      </c>
    </row>
    <row r="63" spans="1:20" ht="49.5" customHeight="1" outlineLevel="2">
      <c r="A63" s="374" t="s">
        <v>31</v>
      </c>
      <c r="B63" s="46" t="s">
        <v>188</v>
      </c>
      <c r="C63" s="353"/>
      <c r="D63" s="354" t="s">
        <v>241</v>
      </c>
      <c r="E63" s="89" t="s">
        <v>31</v>
      </c>
      <c r="F63" s="64" t="s">
        <v>31</v>
      </c>
      <c r="G63" s="64" t="s">
        <v>31</v>
      </c>
      <c r="H63" s="65" t="s">
        <v>31</v>
      </c>
      <c r="I63" s="299" t="str">
        <f>IF(I59&lt;=I61,"Spełniona","Nie spełniona")</f>
        <v>Spełniona</v>
      </c>
      <c r="J63" s="300" t="str">
        <f aca="true" t="shared" si="1" ref="J63:T63">IF(J59&lt;=J61,"Spełniona","Nie spełniona")</f>
        <v>Spełniona</v>
      </c>
      <c r="K63" s="300" t="str">
        <f t="shared" si="1"/>
        <v>Spełniona</v>
      </c>
      <c r="L63" s="300" t="str">
        <f t="shared" si="1"/>
        <v>Spełniona</v>
      </c>
      <c r="M63" s="300" t="str">
        <f t="shared" si="1"/>
        <v>Spełniona</v>
      </c>
      <c r="N63" s="300" t="str">
        <f t="shared" si="1"/>
        <v>Spełniona</v>
      </c>
      <c r="O63" s="300" t="str">
        <f t="shared" si="1"/>
        <v>Spełniona</v>
      </c>
      <c r="P63" s="300" t="str">
        <f t="shared" si="1"/>
        <v>Spełniona</v>
      </c>
      <c r="Q63" s="300" t="str">
        <f t="shared" si="1"/>
        <v>Spełniona</v>
      </c>
      <c r="R63" s="300" t="str">
        <f t="shared" si="1"/>
        <v>Spełniona</v>
      </c>
      <c r="S63" s="300" t="str">
        <f t="shared" si="1"/>
        <v>Spełniona</v>
      </c>
      <c r="T63" s="300" t="str">
        <f t="shared" si="1"/>
        <v>Spełniona</v>
      </c>
    </row>
    <row r="64" spans="1:20" ht="49.5" customHeight="1" outlineLevel="2">
      <c r="A64" s="374" t="s">
        <v>31</v>
      </c>
      <c r="B64" s="46" t="s">
        <v>109</v>
      </c>
      <c r="C64" s="353"/>
      <c r="D64" s="355" t="s">
        <v>240</v>
      </c>
      <c r="E64" s="89" t="s">
        <v>31</v>
      </c>
      <c r="F64" s="64" t="s">
        <v>31</v>
      </c>
      <c r="G64" s="64" t="s">
        <v>31</v>
      </c>
      <c r="H64" s="65" t="s">
        <v>31</v>
      </c>
      <c r="I64" s="299" t="str">
        <f>IF(I59&lt;=I62,"Spełniona","Nie spełniona")</f>
        <v>Spełniona</v>
      </c>
      <c r="J64" s="300" t="str">
        <f aca="true" t="shared" si="2" ref="J64:T64">IF(J59&lt;=J62,"Spełniona","Nie spełniona")</f>
        <v>Spełniona</v>
      </c>
      <c r="K64" s="300" t="str">
        <f t="shared" si="2"/>
        <v>Spełniona</v>
      </c>
      <c r="L64" s="300" t="str">
        <f t="shared" si="2"/>
        <v>Spełniona</v>
      </c>
      <c r="M64" s="300" t="str">
        <f t="shared" si="2"/>
        <v>Spełniona</v>
      </c>
      <c r="N64" s="300" t="str">
        <f t="shared" si="2"/>
        <v>Spełniona</v>
      </c>
      <c r="O64" s="300" t="str">
        <f t="shared" si="2"/>
        <v>Spełniona</v>
      </c>
      <c r="P64" s="300" t="str">
        <f t="shared" si="2"/>
        <v>Spełniona</v>
      </c>
      <c r="Q64" s="300" t="str">
        <f t="shared" si="2"/>
        <v>Spełniona</v>
      </c>
      <c r="R64" s="300" t="str">
        <f t="shared" si="2"/>
        <v>Spełniona</v>
      </c>
      <c r="S64" s="300" t="str">
        <f t="shared" si="2"/>
        <v>Spełniona</v>
      </c>
      <c r="T64" s="300" t="str">
        <f t="shared" si="2"/>
        <v>Spełniona</v>
      </c>
    </row>
    <row r="65" spans="2:20" ht="15" customHeight="1" outlineLevel="1">
      <c r="B65" s="45">
        <v>10</v>
      </c>
      <c r="C65" s="375"/>
      <c r="D65" s="352" t="s">
        <v>242</v>
      </c>
      <c r="E65" s="85">
        <f>0</f>
        <v>0</v>
      </c>
      <c r="F65" s="48">
        <f>0</f>
        <v>0</v>
      </c>
      <c r="G65" s="48">
        <f>0</f>
        <v>0</v>
      </c>
      <c r="H65" s="49">
        <f>0</f>
        <v>0</v>
      </c>
      <c r="I65" s="50">
        <f>338258</f>
        <v>338258</v>
      </c>
      <c r="J65" s="51">
        <f>35035</f>
        <v>35035</v>
      </c>
      <c r="K65" s="51">
        <f>374035</f>
        <v>374035</v>
      </c>
      <c r="L65" s="51">
        <f>915135</f>
        <v>915135</v>
      </c>
      <c r="M65" s="51">
        <f>915135</f>
        <v>915135</v>
      </c>
      <c r="N65" s="51">
        <f>865515</f>
        <v>865515</v>
      </c>
      <c r="O65" s="51">
        <f>775551</f>
        <v>775551</v>
      </c>
      <c r="P65" s="51">
        <f>581551</f>
        <v>581551</v>
      </c>
      <c r="Q65" s="51">
        <f>716851</f>
        <v>716851</v>
      </c>
      <c r="R65" s="51">
        <f>716851</f>
        <v>716851</v>
      </c>
      <c r="S65" s="51">
        <f>669451</f>
        <v>669451</v>
      </c>
      <c r="T65" s="51">
        <f>454350</f>
        <v>454350</v>
      </c>
    </row>
    <row r="66" spans="2:20" ht="15" customHeight="1" outlineLevel="2">
      <c r="B66" s="46" t="s">
        <v>189</v>
      </c>
      <c r="C66" s="353"/>
      <c r="D66" s="354" t="s">
        <v>243</v>
      </c>
      <c r="E66" s="86">
        <f>0</f>
        <v>0</v>
      </c>
      <c r="F66" s="52">
        <f>0</f>
        <v>0</v>
      </c>
      <c r="G66" s="52">
        <f>0</f>
        <v>0</v>
      </c>
      <c r="H66" s="53">
        <f>0</f>
        <v>0</v>
      </c>
      <c r="I66" s="54">
        <f>338258</f>
        <v>338258</v>
      </c>
      <c r="J66" s="55">
        <f>35035</f>
        <v>35035</v>
      </c>
      <c r="K66" s="55">
        <f>374035</f>
        <v>374035</v>
      </c>
      <c r="L66" s="55">
        <f>915135</f>
        <v>915135</v>
      </c>
      <c r="M66" s="55">
        <f>915135</f>
        <v>915135</v>
      </c>
      <c r="N66" s="55">
        <f>865515</f>
        <v>865515</v>
      </c>
      <c r="O66" s="55">
        <f>775551</f>
        <v>775551</v>
      </c>
      <c r="P66" s="55">
        <v>581551</v>
      </c>
      <c r="Q66" s="55">
        <f>716851</f>
        <v>716851</v>
      </c>
      <c r="R66" s="55">
        <f>716851</f>
        <v>716851</v>
      </c>
      <c r="S66" s="55">
        <f>669451</f>
        <v>669451</v>
      </c>
      <c r="T66" s="55">
        <f>454350</f>
        <v>454350</v>
      </c>
    </row>
    <row r="67" spans="2:20" ht="15" customHeight="1" outlineLevel="1">
      <c r="B67" s="45">
        <v>11</v>
      </c>
      <c r="C67" s="375"/>
      <c r="D67" s="352" t="s">
        <v>113</v>
      </c>
      <c r="E67" s="89" t="s">
        <v>31</v>
      </c>
      <c r="F67" s="64" t="s">
        <v>31</v>
      </c>
      <c r="G67" s="64" t="s">
        <v>31</v>
      </c>
      <c r="H67" s="65" t="s">
        <v>31</v>
      </c>
      <c r="I67" s="66" t="s">
        <v>31</v>
      </c>
      <c r="J67" s="67" t="s">
        <v>31</v>
      </c>
      <c r="K67" s="67" t="s">
        <v>31</v>
      </c>
      <c r="L67" s="67" t="s">
        <v>31</v>
      </c>
      <c r="M67" s="67" t="s">
        <v>31</v>
      </c>
      <c r="N67" s="67" t="s">
        <v>31</v>
      </c>
      <c r="O67" s="67" t="s">
        <v>31</v>
      </c>
      <c r="P67" s="67" t="s">
        <v>31</v>
      </c>
      <c r="Q67" s="67" t="s">
        <v>31</v>
      </c>
      <c r="R67" s="67" t="s">
        <v>31</v>
      </c>
      <c r="S67" s="67" t="s">
        <v>31</v>
      </c>
      <c r="T67" s="67" t="s">
        <v>31</v>
      </c>
    </row>
    <row r="68" spans="2:20" ht="15" customHeight="1" outlineLevel="2">
      <c r="B68" s="46" t="s">
        <v>190</v>
      </c>
      <c r="C68" s="353"/>
      <c r="D68" s="354" t="s">
        <v>244</v>
      </c>
      <c r="E68" s="86">
        <f>5900000</f>
        <v>5900000</v>
      </c>
      <c r="F68" s="52">
        <f>6400000</f>
        <v>6400000</v>
      </c>
      <c r="G68" s="52">
        <f>6922323.12</f>
        <v>6922323.12</v>
      </c>
      <c r="H68" s="53">
        <f>0</f>
        <v>0</v>
      </c>
      <c r="I68" s="54">
        <f>7698600.8</f>
        <v>7698600.8</v>
      </c>
      <c r="J68" s="55">
        <f>7861000</f>
        <v>7861000</v>
      </c>
      <c r="K68" s="55">
        <f>8019000</f>
        <v>8019000</v>
      </c>
      <c r="L68" s="55">
        <f>8179000</f>
        <v>8179000</v>
      </c>
      <c r="M68" s="55">
        <f>0</f>
        <v>0</v>
      </c>
      <c r="N68" s="55">
        <f>0</f>
        <v>0</v>
      </c>
      <c r="O68" s="55">
        <f>0</f>
        <v>0</v>
      </c>
      <c r="P68" s="55">
        <f>0</f>
        <v>0</v>
      </c>
      <c r="Q68" s="55">
        <f>0</f>
        <v>0</v>
      </c>
      <c r="R68" s="55">
        <f>0</f>
        <v>0</v>
      </c>
      <c r="S68" s="55">
        <f>0</f>
        <v>0</v>
      </c>
      <c r="T68" s="55">
        <f>0</f>
        <v>0</v>
      </c>
    </row>
    <row r="69" spans="2:20" ht="15" customHeight="1" outlineLevel="2">
      <c r="B69" s="46" t="s">
        <v>191</v>
      </c>
      <c r="C69" s="353"/>
      <c r="D69" s="354" t="s">
        <v>245</v>
      </c>
      <c r="E69" s="86">
        <f>0</f>
        <v>0</v>
      </c>
      <c r="F69" s="52">
        <f>0</f>
        <v>0</v>
      </c>
      <c r="G69" s="52">
        <f>0</f>
        <v>0</v>
      </c>
      <c r="H69" s="53">
        <f>1576869.42</f>
        <v>1576869.42</v>
      </c>
      <c r="I69" s="54">
        <f>1704850</f>
        <v>1704850</v>
      </c>
      <c r="J69" s="55">
        <f>1738000</f>
        <v>1738000</v>
      </c>
      <c r="K69" s="55">
        <f>1765000</f>
        <v>1765000</v>
      </c>
      <c r="L69" s="55">
        <f>1793000</f>
        <v>1793000</v>
      </c>
      <c r="M69" s="55">
        <f>0</f>
        <v>0</v>
      </c>
      <c r="N69" s="55">
        <f>0</f>
        <v>0</v>
      </c>
      <c r="O69" s="55">
        <f>0</f>
        <v>0</v>
      </c>
      <c r="P69" s="55">
        <f>0</f>
        <v>0</v>
      </c>
      <c r="Q69" s="55">
        <f>0</f>
        <v>0</v>
      </c>
      <c r="R69" s="55">
        <f>0</f>
        <v>0</v>
      </c>
      <c r="S69" s="55">
        <f>0</f>
        <v>0</v>
      </c>
      <c r="T69" s="55">
        <f>0</f>
        <v>0</v>
      </c>
    </row>
    <row r="70" spans="2:20" ht="15" customHeight="1" outlineLevel="2">
      <c r="B70" s="46" t="s">
        <v>192</v>
      </c>
      <c r="C70" s="353"/>
      <c r="D70" s="354" t="s">
        <v>248</v>
      </c>
      <c r="E70" s="86">
        <f>2444639.19</f>
        <v>2444639.19</v>
      </c>
      <c r="F70" s="52">
        <f>518323.6</f>
        <v>518323.6</v>
      </c>
      <c r="G70" s="52">
        <f>1349610</f>
        <v>1349610</v>
      </c>
      <c r="H70" s="53">
        <f>584688</f>
        <v>584688</v>
      </c>
      <c r="I70" s="54">
        <f>274992</f>
        <v>274992</v>
      </c>
      <c r="J70" s="55">
        <f>1305379</f>
        <v>1305379</v>
      </c>
      <c r="K70" s="55">
        <f>1750990</f>
        <v>1750990</v>
      </c>
      <c r="L70" s="55">
        <f>0</f>
        <v>0</v>
      </c>
      <c r="M70" s="55">
        <f>0</f>
        <v>0</v>
      </c>
      <c r="N70" s="55">
        <f>0</f>
        <v>0</v>
      </c>
      <c r="O70" s="55">
        <f>0</f>
        <v>0</v>
      </c>
      <c r="P70" s="55">
        <f>0</f>
        <v>0</v>
      </c>
      <c r="Q70" s="55">
        <f>0</f>
        <v>0</v>
      </c>
      <c r="R70" s="55">
        <f>0</f>
        <v>0</v>
      </c>
      <c r="S70" s="55">
        <f>0</f>
        <v>0</v>
      </c>
      <c r="T70" s="55">
        <f>0</f>
        <v>0</v>
      </c>
    </row>
    <row r="71" spans="2:20" ht="15" customHeight="1" outlineLevel="3">
      <c r="B71" s="46" t="s">
        <v>117</v>
      </c>
      <c r="C71" s="353"/>
      <c r="D71" s="355" t="s">
        <v>246</v>
      </c>
      <c r="E71" s="86">
        <f>31989</f>
        <v>31989</v>
      </c>
      <c r="F71" s="52">
        <f>122229.98</f>
        <v>122229.98</v>
      </c>
      <c r="G71" s="52">
        <f>437610</f>
        <v>437610</v>
      </c>
      <c r="H71" s="53">
        <f>0</f>
        <v>0</v>
      </c>
      <c r="I71" s="54">
        <f>274992</f>
        <v>274992</v>
      </c>
      <c r="J71" s="55">
        <f>97369</f>
        <v>97369</v>
      </c>
      <c r="K71" s="55">
        <f>0</f>
        <v>0</v>
      </c>
      <c r="L71" s="55">
        <f>0</f>
        <v>0</v>
      </c>
      <c r="M71" s="55">
        <f>0</f>
        <v>0</v>
      </c>
      <c r="N71" s="55">
        <f>0</f>
        <v>0</v>
      </c>
      <c r="O71" s="55">
        <f>0</f>
        <v>0</v>
      </c>
      <c r="P71" s="55">
        <f>0</f>
        <v>0</v>
      </c>
      <c r="Q71" s="55">
        <f>0</f>
        <v>0</v>
      </c>
      <c r="R71" s="55">
        <f>0</f>
        <v>0</v>
      </c>
      <c r="S71" s="55">
        <f>0</f>
        <v>0</v>
      </c>
      <c r="T71" s="55">
        <f>0</f>
        <v>0</v>
      </c>
    </row>
    <row r="72" spans="2:20" ht="15" customHeight="1" outlineLevel="3">
      <c r="B72" s="46" t="s">
        <v>119</v>
      </c>
      <c r="C72" s="353"/>
      <c r="D72" s="355" t="s">
        <v>247</v>
      </c>
      <c r="E72" s="86">
        <f>2412650.19</f>
        <v>2412650.19</v>
      </c>
      <c r="F72" s="52">
        <f>396093.62</f>
        <v>396093.62</v>
      </c>
      <c r="G72" s="52">
        <f>912000</f>
        <v>912000</v>
      </c>
      <c r="H72" s="53">
        <f>584688</f>
        <v>584688</v>
      </c>
      <c r="I72" s="54">
        <f>0</f>
        <v>0</v>
      </c>
      <c r="J72" s="55">
        <f>1208010</f>
        <v>1208010</v>
      </c>
      <c r="K72" s="55">
        <f>1750990</f>
        <v>1750990</v>
      </c>
      <c r="L72" s="55">
        <f>0</f>
        <v>0</v>
      </c>
      <c r="M72" s="55">
        <f>0</f>
        <v>0</v>
      </c>
      <c r="N72" s="55">
        <f>0</f>
        <v>0</v>
      </c>
      <c r="O72" s="55">
        <f>0</f>
        <v>0</v>
      </c>
      <c r="P72" s="55">
        <f>0</f>
        <v>0</v>
      </c>
      <c r="Q72" s="55">
        <f>0</f>
        <v>0</v>
      </c>
      <c r="R72" s="55">
        <f>0</f>
        <v>0</v>
      </c>
      <c r="S72" s="55">
        <f>0</f>
        <v>0</v>
      </c>
      <c r="T72" s="55">
        <f>0</f>
        <v>0</v>
      </c>
    </row>
    <row r="73" spans="2:20" ht="15" customHeight="1" outlineLevel="2">
      <c r="B73" s="46" t="s">
        <v>193</v>
      </c>
      <c r="C73" s="353"/>
      <c r="D73" s="354" t="s">
        <v>249</v>
      </c>
      <c r="E73" s="86">
        <f>0</f>
        <v>0</v>
      </c>
      <c r="F73" s="52">
        <f>0</f>
        <v>0</v>
      </c>
      <c r="G73" s="52">
        <f>0</f>
        <v>0</v>
      </c>
      <c r="H73" s="53">
        <f>0</f>
        <v>0</v>
      </c>
      <c r="I73" s="54">
        <f>374286</f>
        <v>374286</v>
      </c>
      <c r="J73" s="55">
        <f>0</f>
        <v>0</v>
      </c>
      <c r="K73" s="55">
        <f>0</f>
        <v>0</v>
      </c>
      <c r="L73" s="55">
        <f>0</f>
        <v>0</v>
      </c>
      <c r="M73" s="55">
        <f>0</f>
        <v>0</v>
      </c>
      <c r="N73" s="55">
        <f>0</f>
        <v>0</v>
      </c>
      <c r="O73" s="55">
        <f>0</f>
        <v>0</v>
      </c>
      <c r="P73" s="55">
        <f>0</f>
        <v>0</v>
      </c>
      <c r="Q73" s="55">
        <f>0</f>
        <v>0</v>
      </c>
      <c r="R73" s="55">
        <f>0</f>
        <v>0</v>
      </c>
      <c r="S73" s="55">
        <f>0</f>
        <v>0</v>
      </c>
      <c r="T73" s="55">
        <f>0</f>
        <v>0</v>
      </c>
    </row>
    <row r="74" spans="2:20" ht="15" customHeight="1" outlineLevel="2">
      <c r="B74" s="46" t="s">
        <v>194</v>
      </c>
      <c r="C74" s="353"/>
      <c r="D74" s="354" t="s">
        <v>250</v>
      </c>
      <c r="E74" s="86">
        <f>0</f>
        <v>0</v>
      </c>
      <c r="F74" s="52">
        <f>0</f>
        <v>0</v>
      </c>
      <c r="G74" s="52">
        <f>0</f>
        <v>0</v>
      </c>
      <c r="H74" s="53">
        <f>21000</f>
        <v>21000</v>
      </c>
      <c r="I74" s="54">
        <f>1529925</f>
        <v>1529925</v>
      </c>
      <c r="J74" s="55">
        <f>1208010</f>
        <v>1208010</v>
      </c>
      <c r="K74" s="55">
        <f>1750990</f>
        <v>1750990</v>
      </c>
      <c r="L74" s="55">
        <f>500000</f>
        <v>500000</v>
      </c>
      <c r="M74" s="55">
        <f>0</f>
        <v>0</v>
      </c>
      <c r="N74" s="55">
        <f>0</f>
        <v>0</v>
      </c>
      <c r="O74" s="55">
        <f>0</f>
        <v>0</v>
      </c>
      <c r="P74" s="55">
        <f>0</f>
        <v>0</v>
      </c>
      <c r="Q74" s="55">
        <f>0</f>
        <v>0</v>
      </c>
      <c r="R74" s="55">
        <f>0</f>
        <v>0</v>
      </c>
      <c r="S74" s="55">
        <f>0</f>
        <v>0</v>
      </c>
      <c r="T74" s="55">
        <f>0</f>
        <v>0</v>
      </c>
    </row>
    <row r="75" spans="2:20" ht="15" customHeight="1" outlineLevel="2">
      <c r="B75" s="46" t="s">
        <v>195</v>
      </c>
      <c r="C75" s="353"/>
      <c r="D75" s="354" t="s">
        <v>251</v>
      </c>
      <c r="E75" s="86">
        <f>0</f>
        <v>0</v>
      </c>
      <c r="F75" s="52">
        <f>0</f>
        <v>0</v>
      </c>
      <c r="G75" s="52">
        <f>0</f>
        <v>0</v>
      </c>
      <c r="H75" s="53">
        <f>399937</f>
        <v>399937</v>
      </c>
      <c r="I75" s="54">
        <f>16000</f>
        <v>16000</v>
      </c>
      <c r="J75" s="55">
        <f>0</f>
        <v>0</v>
      </c>
      <c r="K75" s="55">
        <f>0</f>
        <v>0</v>
      </c>
      <c r="L75" s="55">
        <f>0</f>
        <v>0</v>
      </c>
      <c r="M75" s="55">
        <f>0</f>
        <v>0</v>
      </c>
      <c r="N75" s="55">
        <f>0</f>
        <v>0</v>
      </c>
      <c r="O75" s="55">
        <f>0</f>
        <v>0</v>
      </c>
      <c r="P75" s="55">
        <f>0</f>
        <v>0</v>
      </c>
      <c r="Q75" s="55">
        <f>0</f>
        <v>0</v>
      </c>
      <c r="R75" s="55">
        <f>0</f>
        <v>0</v>
      </c>
      <c r="S75" s="55">
        <f>0</f>
        <v>0</v>
      </c>
      <c r="T75" s="55">
        <f>0</f>
        <v>0</v>
      </c>
    </row>
    <row r="76" spans="2:20" ht="26.25" customHeight="1" outlineLevel="1">
      <c r="B76" s="45">
        <v>12</v>
      </c>
      <c r="C76" s="375"/>
      <c r="D76" s="352" t="s">
        <v>124</v>
      </c>
      <c r="E76" s="89" t="s">
        <v>31</v>
      </c>
      <c r="F76" s="64" t="s">
        <v>31</v>
      </c>
      <c r="G76" s="64" t="s">
        <v>31</v>
      </c>
      <c r="H76" s="65" t="s">
        <v>31</v>
      </c>
      <c r="I76" s="66" t="s">
        <v>31</v>
      </c>
      <c r="J76" s="67" t="s">
        <v>31</v>
      </c>
      <c r="K76" s="67" t="s">
        <v>31</v>
      </c>
      <c r="L76" s="67" t="s">
        <v>31</v>
      </c>
      <c r="M76" s="67" t="s">
        <v>31</v>
      </c>
      <c r="N76" s="67" t="s">
        <v>31</v>
      </c>
      <c r="O76" s="67" t="s">
        <v>31</v>
      </c>
      <c r="P76" s="67" t="s">
        <v>31</v>
      </c>
      <c r="Q76" s="67" t="s">
        <v>31</v>
      </c>
      <c r="R76" s="67" t="s">
        <v>31</v>
      </c>
      <c r="S76" s="67" t="s">
        <v>31</v>
      </c>
      <c r="T76" s="67" t="s">
        <v>31</v>
      </c>
    </row>
    <row r="77" spans="2:20" ht="25.5" customHeight="1" outlineLevel="2">
      <c r="B77" s="46" t="s">
        <v>196</v>
      </c>
      <c r="C77" s="353"/>
      <c r="D77" s="354" t="s">
        <v>461</v>
      </c>
      <c r="E77" s="86">
        <f>0</f>
        <v>0</v>
      </c>
      <c r="F77" s="52">
        <f>0</f>
        <v>0</v>
      </c>
      <c r="G77" s="52">
        <f>0</f>
        <v>0</v>
      </c>
      <c r="H77" s="53">
        <f>0</f>
        <v>0</v>
      </c>
      <c r="I77" s="54">
        <f>188408.32</f>
        <v>188408.32</v>
      </c>
      <c r="J77" s="55">
        <f>0</f>
        <v>0</v>
      </c>
      <c r="K77" s="55">
        <f>0</f>
        <v>0</v>
      </c>
      <c r="L77" s="55">
        <f>0</f>
        <v>0</v>
      </c>
      <c r="M77" s="55">
        <f>0</f>
        <v>0</v>
      </c>
      <c r="N77" s="55">
        <f>0</f>
        <v>0</v>
      </c>
      <c r="O77" s="55">
        <f>0</f>
        <v>0</v>
      </c>
      <c r="P77" s="55">
        <f>0</f>
        <v>0</v>
      </c>
      <c r="Q77" s="55">
        <f>0</f>
        <v>0</v>
      </c>
      <c r="R77" s="55">
        <f>0</f>
        <v>0</v>
      </c>
      <c r="S77" s="55">
        <f>0</f>
        <v>0</v>
      </c>
      <c r="T77" s="55">
        <f>0</f>
        <v>0</v>
      </c>
    </row>
    <row r="78" spans="2:20" ht="15" customHeight="1" outlineLevel="3">
      <c r="B78" s="46" t="s">
        <v>126</v>
      </c>
      <c r="C78" s="353"/>
      <c r="D78" s="355" t="s">
        <v>252</v>
      </c>
      <c r="E78" s="86">
        <f>0</f>
        <v>0</v>
      </c>
      <c r="F78" s="52">
        <f>60057.29</f>
        <v>60057.29</v>
      </c>
      <c r="G78" s="52">
        <f>201256</f>
        <v>201256</v>
      </c>
      <c r="H78" s="53">
        <f>0</f>
        <v>0</v>
      </c>
      <c r="I78" s="54">
        <f>188408.32</f>
        <v>188408.32</v>
      </c>
      <c r="J78" s="55">
        <f>0</f>
        <v>0</v>
      </c>
      <c r="K78" s="55">
        <f>0</f>
        <v>0</v>
      </c>
      <c r="L78" s="55">
        <f>0</f>
        <v>0</v>
      </c>
      <c r="M78" s="55">
        <f>0</f>
        <v>0</v>
      </c>
      <c r="N78" s="55">
        <f>0</f>
        <v>0</v>
      </c>
      <c r="O78" s="55">
        <f>0</f>
        <v>0</v>
      </c>
      <c r="P78" s="55">
        <f>0</f>
        <v>0</v>
      </c>
      <c r="Q78" s="55">
        <f>0</f>
        <v>0</v>
      </c>
      <c r="R78" s="55">
        <f>0</f>
        <v>0</v>
      </c>
      <c r="S78" s="55">
        <f>0</f>
        <v>0</v>
      </c>
      <c r="T78" s="55">
        <f>0</f>
        <v>0</v>
      </c>
    </row>
    <row r="79" spans="2:20" ht="25.5" customHeight="1" outlineLevel="3">
      <c r="B79" s="46" t="s">
        <v>128</v>
      </c>
      <c r="C79" s="353"/>
      <c r="D79" s="356" t="s">
        <v>253</v>
      </c>
      <c r="E79" s="86">
        <f>0</f>
        <v>0</v>
      </c>
      <c r="F79" s="52">
        <f>0</f>
        <v>0</v>
      </c>
      <c r="G79" s="52">
        <f>0</f>
        <v>0</v>
      </c>
      <c r="H79" s="53">
        <f>0</f>
        <v>0</v>
      </c>
      <c r="I79" s="54">
        <f>188408.32</f>
        <v>188408.32</v>
      </c>
      <c r="J79" s="55">
        <f>0</f>
        <v>0</v>
      </c>
      <c r="K79" s="55">
        <f>0</f>
        <v>0</v>
      </c>
      <c r="L79" s="55">
        <f>0</f>
        <v>0</v>
      </c>
      <c r="M79" s="55">
        <f>0</f>
        <v>0</v>
      </c>
      <c r="N79" s="55">
        <f>0</f>
        <v>0</v>
      </c>
      <c r="O79" s="55">
        <f>0</f>
        <v>0</v>
      </c>
      <c r="P79" s="55">
        <f>0</f>
        <v>0</v>
      </c>
      <c r="Q79" s="55">
        <f>0</f>
        <v>0</v>
      </c>
      <c r="R79" s="55">
        <f>0</f>
        <v>0</v>
      </c>
      <c r="S79" s="55">
        <f>0</f>
        <v>0</v>
      </c>
      <c r="T79" s="55">
        <f>0</f>
        <v>0</v>
      </c>
    </row>
    <row r="80" spans="2:20" ht="25.5" customHeight="1" outlineLevel="2">
      <c r="B80" s="46" t="s">
        <v>197</v>
      </c>
      <c r="C80" s="353"/>
      <c r="D80" s="354" t="s">
        <v>462</v>
      </c>
      <c r="E80" s="86">
        <f>0</f>
        <v>0</v>
      </c>
      <c r="F80" s="52">
        <f>0</f>
        <v>0</v>
      </c>
      <c r="G80" s="52">
        <f>0</f>
        <v>0</v>
      </c>
      <c r="H80" s="53">
        <f>0</f>
        <v>0</v>
      </c>
      <c r="I80" s="54">
        <f>1132274</f>
        <v>1132274</v>
      </c>
      <c r="J80" s="55">
        <f>0</f>
        <v>0</v>
      </c>
      <c r="K80" s="55">
        <f>0</f>
        <v>0</v>
      </c>
      <c r="L80" s="55">
        <f>0</f>
        <v>0</v>
      </c>
      <c r="M80" s="55">
        <f>0</f>
        <v>0</v>
      </c>
      <c r="N80" s="55">
        <f>0</f>
        <v>0</v>
      </c>
      <c r="O80" s="55">
        <f>0</f>
        <v>0</v>
      </c>
      <c r="P80" s="55">
        <f>0</f>
        <v>0</v>
      </c>
      <c r="Q80" s="55">
        <f>0</f>
        <v>0</v>
      </c>
      <c r="R80" s="55">
        <f>0</f>
        <v>0</v>
      </c>
      <c r="S80" s="55">
        <f>0</f>
        <v>0</v>
      </c>
      <c r="T80" s="55">
        <f>0</f>
        <v>0</v>
      </c>
    </row>
    <row r="81" spans="2:20" ht="15" customHeight="1" outlineLevel="3">
      <c r="B81" s="46" t="s">
        <v>131</v>
      </c>
      <c r="C81" s="353"/>
      <c r="D81" s="355" t="s">
        <v>252</v>
      </c>
      <c r="E81" s="86">
        <f>0</f>
        <v>0</v>
      </c>
      <c r="F81" s="52">
        <f>355439.59</f>
        <v>355439.59</v>
      </c>
      <c r="G81" s="52">
        <f>0</f>
        <v>0</v>
      </c>
      <c r="H81" s="53">
        <f>0</f>
        <v>0</v>
      </c>
      <c r="I81" s="54">
        <f>1132274</f>
        <v>1132274</v>
      </c>
      <c r="J81" s="55">
        <f>0</f>
        <v>0</v>
      </c>
      <c r="K81" s="55">
        <f>0</f>
        <v>0</v>
      </c>
      <c r="L81" s="55">
        <f>0</f>
        <v>0</v>
      </c>
      <c r="M81" s="55">
        <f>0</f>
        <v>0</v>
      </c>
      <c r="N81" s="55">
        <f>0</f>
        <v>0</v>
      </c>
      <c r="O81" s="55">
        <f>0</f>
        <v>0</v>
      </c>
      <c r="P81" s="55">
        <f>0</f>
        <v>0</v>
      </c>
      <c r="Q81" s="55">
        <f>0</f>
        <v>0</v>
      </c>
      <c r="R81" s="55">
        <f>0</f>
        <v>0</v>
      </c>
      <c r="S81" s="55">
        <f>0</f>
        <v>0</v>
      </c>
      <c r="T81" s="55">
        <f>0</f>
        <v>0</v>
      </c>
    </row>
    <row r="82" spans="2:20" ht="25.5" customHeight="1" outlineLevel="3">
      <c r="B82" s="46" t="s">
        <v>133</v>
      </c>
      <c r="C82" s="353"/>
      <c r="D82" s="356" t="s">
        <v>253</v>
      </c>
      <c r="E82" s="86">
        <f>0</f>
        <v>0</v>
      </c>
      <c r="F82" s="52">
        <f>0</f>
        <v>0</v>
      </c>
      <c r="G82" s="52">
        <f>0</f>
        <v>0</v>
      </c>
      <c r="H82" s="53">
        <f>0</f>
        <v>0</v>
      </c>
      <c r="I82" s="54">
        <f>1132274</f>
        <v>1132274</v>
      </c>
      <c r="J82" s="55">
        <f>0</f>
        <v>0</v>
      </c>
      <c r="K82" s="55">
        <f>0</f>
        <v>0</v>
      </c>
      <c r="L82" s="55">
        <f>0</f>
        <v>0</v>
      </c>
      <c r="M82" s="55">
        <f>0</f>
        <v>0</v>
      </c>
      <c r="N82" s="55">
        <f>0</f>
        <v>0</v>
      </c>
      <c r="O82" s="55">
        <f>0</f>
        <v>0</v>
      </c>
      <c r="P82" s="55">
        <f>0</f>
        <v>0</v>
      </c>
      <c r="Q82" s="55">
        <f>0</f>
        <v>0</v>
      </c>
      <c r="R82" s="55">
        <f>0</f>
        <v>0</v>
      </c>
      <c r="S82" s="55">
        <f>0</f>
        <v>0</v>
      </c>
      <c r="T82" s="55">
        <f>0</f>
        <v>0</v>
      </c>
    </row>
    <row r="83" spans="2:20" ht="25.5" customHeight="1" outlineLevel="2">
      <c r="B83" s="46" t="s">
        <v>198</v>
      </c>
      <c r="C83" s="353"/>
      <c r="D83" s="354" t="s">
        <v>254</v>
      </c>
      <c r="E83" s="86">
        <f>0</f>
        <v>0</v>
      </c>
      <c r="F83" s="52">
        <f>0</f>
        <v>0</v>
      </c>
      <c r="G83" s="52">
        <f>0</f>
        <v>0</v>
      </c>
      <c r="H83" s="53">
        <f>0</f>
        <v>0</v>
      </c>
      <c r="I83" s="54">
        <f>68381.46</f>
        <v>68381.46</v>
      </c>
      <c r="J83" s="55">
        <f>0</f>
        <v>0</v>
      </c>
      <c r="K83" s="55">
        <f>0</f>
        <v>0</v>
      </c>
      <c r="L83" s="55">
        <f>0</f>
        <v>0</v>
      </c>
      <c r="M83" s="55">
        <f>0</f>
        <v>0</v>
      </c>
      <c r="N83" s="55">
        <f>0</f>
        <v>0</v>
      </c>
      <c r="O83" s="55">
        <f>0</f>
        <v>0</v>
      </c>
      <c r="P83" s="55">
        <f>0</f>
        <v>0</v>
      </c>
      <c r="Q83" s="55">
        <f>0</f>
        <v>0</v>
      </c>
      <c r="R83" s="55">
        <f>0</f>
        <v>0</v>
      </c>
      <c r="S83" s="55">
        <f>0</f>
        <v>0</v>
      </c>
      <c r="T83" s="55">
        <f>0</f>
        <v>0</v>
      </c>
    </row>
    <row r="84" spans="2:20" ht="15" customHeight="1" outlineLevel="3">
      <c r="B84" s="46" t="s">
        <v>136</v>
      </c>
      <c r="C84" s="353"/>
      <c r="D84" s="355" t="s">
        <v>256</v>
      </c>
      <c r="E84" s="86">
        <f>0</f>
        <v>0</v>
      </c>
      <c r="F84" s="52">
        <f>0</f>
        <v>0</v>
      </c>
      <c r="G84" s="52">
        <f>0</f>
        <v>0</v>
      </c>
      <c r="H84" s="53">
        <f>0</f>
        <v>0</v>
      </c>
      <c r="I84" s="54">
        <f>61201.32</f>
        <v>61201.32</v>
      </c>
      <c r="J84" s="55">
        <f>0</f>
        <v>0</v>
      </c>
      <c r="K84" s="55">
        <f>0</f>
        <v>0</v>
      </c>
      <c r="L84" s="55">
        <f>0</f>
        <v>0</v>
      </c>
      <c r="M84" s="55">
        <f>0</f>
        <v>0</v>
      </c>
      <c r="N84" s="55">
        <f>0</f>
        <v>0</v>
      </c>
      <c r="O84" s="55">
        <f>0</f>
        <v>0</v>
      </c>
      <c r="P84" s="55">
        <f>0</f>
        <v>0</v>
      </c>
      <c r="Q84" s="55">
        <f>0</f>
        <v>0</v>
      </c>
      <c r="R84" s="55">
        <f>0</f>
        <v>0</v>
      </c>
      <c r="S84" s="55">
        <f>0</f>
        <v>0</v>
      </c>
      <c r="T84" s="55">
        <f>0</f>
        <v>0</v>
      </c>
    </row>
    <row r="85" spans="2:20" ht="25.5" customHeight="1" outlineLevel="3">
      <c r="B85" s="46" t="s">
        <v>138</v>
      </c>
      <c r="C85" s="353"/>
      <c r="D85" s="355" t="s">
        <v>255</v>
      </c>
      <c r="E85" s="86">
        <f>0</f>
        <v>0</v>
      </c>
      <c r="F85" s="52">
        <f>0</f>
        <v>0</v>
      </c>
      <c r="G85" s="52">
        <f>0</f>
        <v>0</v>
      </c>
      <c r="H85" s="53">
        <f>0</f>
        <v>0</v>
      </c>
      <c r="I85" s="54">
        <f>68381.46</f>
        <v>68381.46</v>
      </c>
      <c r="J85" s="55">
        <f>0</f>
        <v>0</v>
      </c>
      <c r="K85" s="55">
        <f>0</f>
        <v>0</v>
      </c>
      <c r="L85" s="55">
        <f>0</f>
        <v>0</v>
      </c>
      <c r="M85" s="55">
        <f>0</f>
        <v>0</v>
      </c>
      <c r="N85" s="55">
        <f>0</f>
        <v>0</v>
      </c>
      <c r="O85" s="55">
        <f>0</f>
        <v>0</v>
      </c>
      <c r="P85" s="55">
        <f>0</f>
        <v>0</v>
      </c>
      <c r="Q85" s="55">
        <f>0</f>
        <v>0</v>
      </c>
      <c r="R85" s="55">
        <f>0</f>
        <v>0</v>
      </c>
      <c r="S85" s="55">
        <f>0</f>
        <v>0</v>
      </c>
      <c r="T85" s="55">
        <f>0</f>
        <v>0</v>
      </c>
    </row>
    <row r="86" spans="2:20" ht="25.5" customHeight="1" outlineLevel="2">
      <c r="B86" s="46" t="s">
        <v>199</v>
      </c>
      <c r="C86" s="353"/>
      <c r="D86" s="354" t="s">
        <v>257</v>
      </c>
      <c r="E86" s="86">
        <f>0</f>
        <v>0</v>
      </c>
      <c r="F86" s="52">
        <f>0</f>
        <v>0</v>
      </c>
      <c r="G86" s="52">
        <f>0</f>
        <v>0</v>
      </c>
      <c r="H86" s="53">
        <f>0</f>
        <v>0</v>
      </c>
      <c r="I86" s="54">
        <f>95146</f>
        <v>95146</v>
      </c>
      <c r="J86" s="55">
        <f>0</f>
        <v>0</v>
      </c>
      <c r="K86" s="55">
        <f>0</f>
        <v>0</v>
      </c>
      <c r="L86" s="55">
        <f>0</f>
        <v>0</v>
      </c>
      <c r="M86" s="55">
        <f>0</f>
        <v>0</v>
      </c>
      <c r="N86" s="55">
        <f>0</f>
        <v>0</v>
      </c>
      <c r="O86" s="55">
        <f>0</f>
        <v>0</v>
      </c>
      <c r="P86" s="55">
        <f>0</f>
        <v>0</v>
      </c>
      <c r="Q86" s="55">
        <f>0</f>
        <v>0</v>
      </c>
      <c r="R86" s="55">
        <f>0</f>
        <v>0</v>
      </c>
      <c r="S86" s="55">
        <f>0</f>
        <v>0</v>
      </c>
      <c r="T86" s="55">
        <f>0</f>
        <v>0</v>
      </c>
    </row>
    <row r="87" spans="2:20" ht="15" customHeight="1" outlineLevel="3">
      <c r="B87" s="46" t="s">
        <v>141</v>
      </c>
      <c r="C87" s="353"/>
      <c r="D87" s="355" t="s">
        <v>258</v>
      </c>
      <c r="E87" s="86">
        <f>0</f>
        <v>0</v>
      </c>
      <c r="F87" s="52">
        <f>0</f>
        <v>0</v>
      </c>
      <c r="G87" s="52">
        <f>1958798</f>
        <v>1958798</v>
      </c>
      <c r="H87" s="53">
        <f>1693495.61</f>
        <v>1693495.61</v>
      </c>
      <c r="I87" s="54">
        <f>42947</f>
        <v>42947</v>
      </c>
      <c r="J87" s="55">
        <f>0</f>
        <v>0</v>
      </c>
      <c r="K87" s="55">
        <f>0</f>
        <v>0</v>
      </c>
      <c r="L87" s="55">
        <f>0</f>
        <v>0</v>
      </c>
      <c r="M87" s="55">
        <f>0</f>
        <v>0</v>
      </c>
      <c r="N87" s="55">
        <f>0</f>
        <v>0</v>
      </c>
      <c r="O87" s="55">
        <f>0</f>
        <v>0</v>
      </c>
      <c r="P87" s="55">
        <f>0</f>
        <v>0</v>
      </c>
      <c r="Q87" s="55">
        <f>0</f>
        <v>0</v>
      </c>
      <c r="R87" s="55">
        <f>0</f>
        <v>0</v>
      </c>
      <c r="S87" s="55">
        <f>0</f>
        <v>0</v>
      </c>
      <c r="T87" s="55">
        <f>0</f>
        <v>0</v>
      </c>
    </row>
    <row r="88" spans="2:20" ht="25.5" customHeight="1" outlineLevel="3">
      <c r="B88" s="46" t="s">
        <v>143</v>
      </c>
      <c r="C88" s="353"/>
      <c r="D88" s="355" t="s">
        <v>259</v>
      </c>
      <c r="E88" s="86">
        <f>0</f>
        <v>0</v>
      </c>
      <c r="F88" s="52">
        <f>0</f>
        <v>0</v>
      </c>
      <c r="G88" s="52">
        <f>0</f>
        <v>0</v>
      </c>
      <c r="H88" s="53">
        <f>0</f>
        <v>0</v>
      </c>
      <c r="I88" s="54">
        <f>95146</f>
        <v>95146</v>
      </c>
      <c r="J88" s="55">
        <f>0</f>
        <v>0</v>
      </c>
      <c r="K88" s="55">
        <f>0</f>
        <v>0</v>
      </c>
      <c r="L88" s="55">
        <f>0</f>
        <v>0</v>
      </c>
      <c r="M88" s="55">
        <f>0</f>
        <v>0</v>
      </c>
      <c r="N88" s="55">
        <f>0</f>
        <v>0</v>
      </c>
      <c r="O88" s="55">
        <f>0</f>
        <v>0</v>
      </c>
      <c r="P88" s="55">
        <f>0</f>
        <v>0</v>
      </c>
      <c r="Q88" s="55">
        <f>0</f>
        <v>0</v>
      </c>
      <c r="R88" s="55">
        <f>0</f>
        <v>0</v>
      </c>
      <c r="S88" s="55">
        <f>0</f>
        <v>0</v>
      </c>
      <c r="T88" s="55">
        <f>0</f>
        <v>0</v>
      </c>
    </row>
    <row r="89" spans="2:20" ht="25.5" customHeight="1" outlineLevel="1">
      <c r="B89" s="45">
        <v>13</v>
      </c>
      <c r="C89" s="375"/>
      <c r="D89" s="351" t="s">
        <v>145</v>
      </c>
      <c r="E89" s="89" t="s">
        <v>31</v>
      </c>
      <c r="F89" s="64" t="s">
        <v>31</v>
      </c>
      <c r="G89" s="64" t="s">
        <v>31</v>
      </c>
      <c r="H89" s="65" t="s">
        <v>31</v>
      </c>
      <c r="I89" s="66" t="s">
        <v>31</v>
      </c>
      <c r="J89" s="67" t="s">
        <v>31</v>
      </c>
      <c r="K89" s="67" t="s">
        <v>31</v>
      </c>
      <c r="L89" s="67" t="s">
        <v>31</v>
      </c>
      <c r="M89" s="67" t="s">
        <v>31</v>
      </c>
      <c r="N89" s="67" t="s">
        <v>31</v>
      </c>
      <c r="O89" s="67" t="s">
        <v>31</v>
      </c>
      <c r="P89" s="67" t="s">
        <v>31</v>
      </c>
      <c r="Q89" s="67" t="s">
        <v>31</v>
      </c>
      <c r="R89" s="67" t="s">
        <v>31</v>
      </c>
      <c r="S89" s="67" t="s">
        <v>31</v>
      </c>
      <c r="T89" s="67" t="s">
        <v>31</v>
      </c>
    </row>
    <row r="90" spans="2:20" ht="25.5" customHeight="1" outlineLevel="2">
      <c r="B90" s="46" t="s">
        <v>200</v>
      </c>
      <c r="C90" s="353"/>
      <c r="D90" s="354" t="s">
        <v>260</v>
      </c>
      <c r="E90" s="86">
        <f>0</f>
        <v>0</v>
      </c>
      <c r="F90" s="52">
        <f>0</f>
        <v>0</v>
      </c>
      <c r="G90" s="52">
        <f>0</f>
        <v>0</v>
      </c>
      <c r="H90" s="53">
        <f>0</f>
        <v>0</v>
      </c>
      <c r="I90" s="54">
        <f>0</f>
        <v>0</v>
      </c>
      <c r="J90" s="55">
        <f>0</f>
        <v>0</v>
      </c>
      <c r="K90" s="55">
        <f>0</f>
        <v>0</v>
      </c>
      <c r="L90" s="55">
        <f>0</f>
        <v>0</v>
      </c>
      <c r="M90" s="55">
        <f>0</f>
        <v>0</v>
      </c>
      <c r="N90" s="55">
        <f>0</f>
        <v>0</v>
      </c>
      <c r="O90" s="55">
        <f>0</f>
        <v>0</v>
      </c>
      <c r="P90" s="55">
        <f>0</f>
        <v>0</v>
      </c>
      <c r="Q90" s="55">
        <f>0</f>
        <v>0</v>
      </c>
      <c r="R90" s="55">
        <f>0</f>
        <v>0</v>
      </c>
      <c r="S90" s="55">
        <f>0</f>
        <v>0</v>
      </c>
      <c r="T90" s="55">
        <f>0</f>
        <v>0</v>
      </c>
    </row>
    <row r="91" spans="2:20" ht="25.5" customHeight="1" outlineLevel="2">
      <c r="B91" s="46" t="s">
        <v>201</v>
      </c>
      <c r="C91" s="353"/>
      <c r="D91" s="354" t="s">
        <v>463</v>
      </c>
      <c r="E91" s="86">
        <f>0</f>
        <v>0</v>
      </c>
      <c r="F91" s="52">
        <f>0</f>
        <v>0</v>
      </c>
      <c r="G91" s="52">
        <f>0</f>
        <v>0</v>
      </c>
      <c r="H91" s="53">
        <f>0</f>
        <v>0</v>
      </c>
      <c r="I91" s="54">
        <f>0</f>
        <v>0</v>
      </c>
      <c r="J91" s="55">
        <f>0</f>
        <v>0</v>
      </c>
      <c r="K91" s="55">
        <f>0</f>
        <v>0</v>
      </c>
      <c r="L91" s="55">
        <f>0</f>
        <v>0</v>
      </c>
      <c r="M91" s="55">
        <f>0</f>
        <v>0</v>
      </c>
      <c r="N91" s="55">
        <f>0</f>
        <v>0</v>
      </c>
      <c r="O91" s="55">
        <f>0</f>
        <v>0</v>
      </c>
      <c r="P91" s="55">
        <f>0</f>
        <v>0</v>
      </c>
      <c r="Q91" s="55">
        <f>0</f>
        <v>0</v>
      </c>
      <c r="R91" s="55">
        <f>0</f>
        <v>0</v>
      </c>
      <c r="S91" s="55">
        <f>0</f>
        <v>0</v>
      </c>
      <c r="T91" s="55">
        <f>0</f>
        <v>0</v>
      </c>
    </row>
    <row r="92" spans="2:20" ht="25.5" customHeight="1" outlineLevel="2">
      <c r="B92" s="46" t="s">
        <v>202</v>
      </c>
      <c r="C92" s="353"/>
      <c r="D92" s="354" t="s">
        <v>261</v>
      </c>
      <c r="E92" s="86">
        <f>0</f>
        <v>0</v>
      </c>
      <c r="F92" s="52">
        <f>0</f>
        <v>0</v>
      </c>
      <c r="G92" s="52">
        <f>0</f>
        <v>0</v>
      </c>
      <c r="H92" s="53">
        <f>0</f>
        <v>0</v>
      </c>
      <c r="I92" s="54">
        <f>0</f>
        <v>0</v>
      </c>
      <c r="J92" s="55">
        <f>0</f>
        <v>0</v>
      </c>
      <c r="K92" s="55">
        <f>0</f>
        <v>0</v>
      </c>
      <c r="L92" s="55">
        <f>0</f>
        <v>0</v>
      </c>
      <c r="M92" s="55">
        <f>0</f>
        <v>0</v>
      </c>
      <c r="N92" s="55">
        <f>0</f>
        <v>0</v>
      </c>
      <c r="O92" s="55">
        <f>0</f>
        <v>0</v>
      </c>
      <c r="P92" s="55">
        <f>0</f>
        <v>0</v>
      </c>
      <c r="Q92" s="55">
        <f>0</f>
        <v>0</v>
      </c>
      <c r="R92" s="55">
        <f>0</f>
        <v>0</v>
      </c>
      <c r="S92" s="55">
        <f>0</f>
        <v>0</v>
      </c>
      <c r="T92" s="55">
        <f>0</f>
        <v>0</v>
      </c>
    </row>
    <row r="93" spans="2:20" ht="25.5" customHeight="1" outlineLevel="2">
      <c r="B93" s="46" t="s">
        <v>203</v>
      </c>
      <c r="C93" s="353"/>
      <c r="D93" s="354" t="s">
        <v>464</v>
      </c>
      <c r="E93" s="86">
        <f>0</f>
        <v>0</v>
      </c>
      <c r="F93" s="52">
        <f>0</f>
        <v>0</v>
      </c>
      <c r="G93" s="52">
        <f>0</f>
        <v>0</v>
      </c>
      <c r="H93" s="53">
        <f>0</f>
        <v>0</v>
      </c>
      <c r="I93" s="54">
        <f>0</f>
        <v>0</v>
      </c>
      <c r="J93" s="55">
        <f>0</f>
        <v>0</v>
      </c>
      <c r="K93" s="55">
        <f>0</f>
        <v>0</v>
      </c>
      <c r="L93" s="55">
        <f>0</f>
        <v>0</v>
      </c>
      <c r="M93" s="55">
        <f>0</f>
        <v>0</v>
      </c>
      <c r="N93" s="55">
        <f>0</f>
        <v>0</v>
      </c>
      <c r="O93" s="55">
        <f>0</f>
        <v>0</v>
      </c>
      <c r="P93" s="55">
        <f>0</f>
        <v>0</v>
      </c>
      <c r="Q93" s="55">
        <f>0</f>
        <v>0</v>
      </c>
      <c r="R93" s="55">
        <f>0</f>
        <v>0</v>
      </c>
      <c r="S93" s="55">
        <f>0</f>
        <v>0</v>
      </c>
      <c r="T93" s="55">
        <f>0</f>
        <v>0</v>
      </c>
    </row>
    <row r="94" spans="2:20" ht="25.5" customHeight="1" outlineLevel="2">
      <c r="B94" s="46" t="s">
        <v>204</v>
      </c>
      <c r="C94" s="353"/>
      <c r="D94" s="354" t="s">
        <v>465</v>
      </c>
      <c r="E94" s="86">
        <f>0</f>
        <v>0</v>
      </c>
      <c r="F94" s="52">
        <f>0</f>
        <v>0</v>
      </c>
      <c r="G94" s="52">
        <f>0</f>
        <v>0</v>
      </c>
      <c r="H94" s="53">
        <f>0</f>
        <v>0</v>
      </c>
      <c r="I94" s="54">
        <f>0</f>
        <v>0</v>
      </c>
      <c r="J94" s="55">
        <f>0</f>
        <v>0</v>
      </c>
      <c r="K94" s="55">
        <f>0</f>
        <v>0</v>
      </c>
      <c r="L94" s="55">
        <f>0</f>
        <v>0</v>
      </c>
      <c r="M94" s="55">
        <f>0</f>
        <v>0</v>
      </c>
      <c r="N94" s="55">
        <f>0</f>
        <v>0</v>
      </c>
      <c r="O94" s="55">
        <f>0</f>
        <v>0</v>
      </c>
      <c r="P94" s="55">
        <f>0</f>
        <v>0</v>
      </c>
      <c r="Q94" s="55">
        <f>0</f>
        <v>0</v>
      </c>
      <c r="R94" s="55">
        <f>0</f>
        <v>0</v>
      </c>
      <c r="S94" s="55">
        <f>0</f>
        <v>0</v>
      </c>
      <c r="T94" s="55">
        <f>0</f>
        <v>0</v>
      </c>
    </row>
    <row r="95" spans="2:20" ht="25.5" customHeight="1" outlineLevel="2">
      <c r="B95" s="46" t="s">
        <v>205</v>
      </c>
      <c r="C95" s="353"/>
      <c r="D95" s="354" t="s">
        <v>262</v>
      </c>
      <c r="E95" s="86">
        <f>0</f>
        <v>0</v>
      </c>
      <c r="F95" s="52">
        <f>0</f>
        <v>0</v>
      </c>
      <c r="G95" s="52">
        <f>0</f>
        <v>0</v>
      </c>
      <c r="H95" s="53">
        <f>0</f>
        <v>0</v>
      </c>
      <c r="I95" s="54">
        <f>0</f>
        <v>0</v>
      </c>
      <c r="J95" s="55">
        <f>0</f>
        <v>0</v>
      </c>
      <c r="K95" s="55">
        <f>0</f>
        <v>0</v>
      </c>
      <c r="L95" s="55">
        <f>0</f>
        <v>0</v>
      </c>
      <c r="M95" s="55">
        <f>0</f>
        <v>0</v>
      </c>
      <c r="N95" s="55">
        <f>0</f>
        <v>0</v>
      </c>
      <c r="O95" s="55">
        <f>0</f>
        <v>0</v>
      </c>
      <c r="P95" s="55">
        <f>0</f>
        <v>0</v>
      </c>
      <c r="Q95" s="55">
        <f>0</f>
        <v>0</v>
      </c>
      <c r="R95" s="55">
        <f>0</f>
        <v>0</v>
      </c>
      <c r="S95" s="55">
        <f>0</f>
        <v>0</v>
      </c>
      <c r="T95" s="55">
        <f>0</f>
        <v>0</v>
      </c>
    </row>
    <row r="96" spans="2:20" ht="25.5" customHeight="1" outlineLevel="2">
      <c r="B96" s="46" t="s">
        <v>206</v>
      </c>
      <c r="C96" s="353"/>
      <c r="D96" s="354" t="s">
        <v>263</v>
      </c>
      <c r="E96" s="86">
        <f>0</f>
        <v>0</v>
      </c>
      <c r="F96" s="52">
        <f>0</f>
        <v>0</v>
      </c>
      <c r="G96" s="52">
        <f>0</f>
        <v>0</v>
      </c>
      <c r="H96" s="53">
        <f>0</f>
        <v>0</v>
      </c>
      <c r="I96" s="54">
        <f>0</f>
        <v>0</v>
      </c>
      <c r="J96" s="55">
        <f>0</f>
        <v>0</v>
      </c>
      <c r="K96" s="55">
        <f>0</f>
        <v>0</v>
      </c>
      <c r="L96" s="55">
        <f>0</f>
        <v>0</v>
      </c>
      <c r="M96" s="55">
        <f>0</f>
        <v>0</v>
      </c>
      <c r="N96" s="55">
        <f>0</f>
        <v>0</v>
      </c>
      <c r="O96" s="55">
        <f>0</f>
        <v>0</v>
      </c>
      <c r="P96" s="55">
        <f>0</f>
        <v>0</v>
      </c>
      <c r="Q96" s="55">
        <f>0</f>
        <v>0</v>
      </c>
      <c r="R96" s="55">
        <f>0</f>
        <v>0</v>
      </c>
      <c r="S96" s="55">
        <f>0</f>
        <v>0</v>
      </c>
      <c r="T96" s="55">
        <f>0</f>
        <v>0</v>
      </c>
    </row>
    <row r="97" spans="1:20" ht="15" customHeight="1" outlineLevel="1">
      <c r="A97" s="374" t="s">
        <v>31</v>
      </c>
      <c r="B97" s="45">
        <v>14</v>
      </c>
      <c r="C97" s="375"/>
      <c r="D97" s="352" t="s">
        <v>153</v>
      </c>
      <c r="E97" s="89" t="s">
        <v>31</v>
      </c>
      <c r="F97" s="64" t="s">
        <v>31</v>
      </c>
      <c r="G97" s="64" t="s">
        <v>31</v>
      </c>
      <c r="H97" s="65" t="s">
        <v>31</v>
      </c>
      <c r="I97" s="66" t="s">
        <v>31</v>
      </c>
      <c r="J97" s="67" t="s">
        <v>31</v>
      </c>
      <c r="K97" s="67" t="s">
        <v>31</v>
      </c>
      <c r="L97" s="67" t="s">
        <v>31</v>
      </c>
      <c r="M97" s="67" t="s">
        <v>31</v>
      </c>
      <c r="N97" s="67" t="s">
        <v>31</v>
      </c>
      <c r="O97" s="67" t="s">
        <v>31</v>
      </c>
      <c r="P97" s="67" t="s">
        <v>31</v>
      </c>
      <c r="Q97" s="67" t="s">
        <v>31</v>
      </c>
      <c r="R97" s="67" t="s">
        <v>31</v>
      </c>
      <c r="S97" s="67" t="s">
        <v>31</v>
      </c>
      <c r="T97" s="67" t="s">
        <v>31</v>
      </c>
    </row>
    <row r="98" spans="1:20" ht="25.5" customHeight="1" outlineLevel="2">
      <c r="A98" s="374" t="s">
        <v>31</v>
      </c>
      <c r="B98" s="46" t="s">
        <v>207</v>
      </c>
      <c r="C98" s="353"/>
      <c r="D98" s="354" t="s">
        <v>264</v>
      </c>
      <c r="E98" s="86">
        <f>0</f>
        <v>0</v>
      </c>
      <c r="F98" s="52">
        <f>0</f>
        <v>0</v>
      </c>
      <c r="G98" s="52">
        <f>0</f>
        <v>0</v>
      </c>
      <c r="H98" s="53">
        <f>0</f>
        <v>0</v>
      </c>
      <c r="I98" s="54">
        <f>835135</f>
        <v>835135</v>
      </c>
      <c r="J98" s="55">
        <f>835135</f>
        <v>835135</v>
      </c>
      <c r="K98" s="55">
        <f>835135</f>
        <v>835135</v>
      </c>
      <c r="L98" s="55">
        <f>835135</f>
        <v>835135</v>
      </c>
      <c r="M98" s="55">
        <f>835135</f>
        <v>835135</v>
      </c>
      <c r="N98" s="55">
        <f>785515</f>
        <v>785515</v>
      </c>
      <c r="O98" s="55">
        <f>695551</f>
        <v>695551</v>
      </c>
      <c r="P98" s="55">
        <f>501551</f>
        <v>501551</v>
      </c>
      <c r="Q98" s="55">
        <f>501551</f>
        <v>501551</v>
      </c>
      <c r="R98" s="55">
        <f>501551</f>
        <v>501551</v>
      </c>
      <c r="S98" s="55">
        <f>454151</f>
        <v>454151</v>
      </c>
      <c r="T98" s="55">
        <f>239050</f>
        <v>239050</v>
      </c>
    </row>
    <row r="99" spans="1:20" ht="15" customHeight="1" outlineLevel="2">
      <c r="A99" s="374" t="s">
        <v>31</v>
      </c>
      <c r="B99" s="46" t="s">
        <v>208</v>
      </c>
      <c r="C99" s="353"/>
      <c r="D99" s="354" t="s">
        <v>265</v>
      </c>
      <c r="E99" s="86">
        <f>0</f>
        <v>0</v>
      </c>
      <c r="F99" s="52">
        <f>0</f>
        <v>0</v>
      </c>
      <c r="G99" s="52">
        <f>0</f>
        <v>0</v>
      </c>
      <c r="H99" s="53">
        <f>0</f>
        <v>0</v>
      </c>
      <c r="I99" s="54">
        <f>0</f>
        <v>0</v>
      </c>
      <c r="J99" s="55">
        <f>0</f>
        <v>0</v>
      </c>
      <c r="K99" s="55">
        <f>0</f>
        <v>0</v>
      </c>
      <c r="L99" s="55">
        <f>0</f>
        <v>0</v>
      </c>
      <c r="M99" s="55">
        <f>0</f>
        <v>0</v>
      </c>
      <c r="N99" s="55">
        <f>0</f>
        <v>0</v>
      </c>
      <c r="O99" s="55">
        <f>0</f>
        <v>0</v>
      </c>
      <c r="P99" s="55">
        <f>0</f>
        <v>0</v>
      </c>
      <c r="Q99" s="55">
        <f>0</f>
        <v>0</v>
      </c>
      <c r="R99" s="55">
        <f>0</f>
        <v>0</v>
      </c>
      <c r="S99" s="55">
        <f>0</f>
        <v>0</v>
      </c>
      <c r="T99" s="55">
        <f>0</f>
        <v>0</v>
      </c>
    </row>
    <row r="100" spans="1:20" ht="15" customHeight="1" outlineLevel="2">
      <c r="A100" s="374" t="s">
        <v>31</v>
      </c>
      <c r="B100" s="46" t="s">
        <v>209</v>
      </c>
      <c r="C100" s="353"/>
      <c r="D100" s="354" t="s">
        <v>267</v>
      </c>
      <c r="E100" s="86">
        <f>0</f>
        <v>0</v>
      </c>
      <c r="F100" s="52">
        <f>0</f>
        <v>0</v>
      </c>
      <c r="G100" s="52">
        <f>0</f>
        <v>0</v>
      </c>
      <c r="H100" s="53">
        <f>0</f>
        <v>0</v>
      </c>
      <c r="I100" s="54">
        <f>0</f>
        <v>0</v>
      </c>
      <c r="J100" s="55">
        <f>0</f>
        <v>0</v>
      </c>
      <c r="K100" s="55">
        <f>0</f>
        <v>0</v>
      </c>
      <c r="L100" s="55">
        <f>0</f>
        <v>0</v>
      </c>
      <c r="M100" s="55">
        <f>0</f>
        <v>0</v>
      </c>
      <c r="N100" s="55">
        <f>0</f>
        <v>0</v>
      </c>
      <c r="O100" s="55">
        <f>0</f>
        <v>0</v>
      </c>
      <c r="P100" s="55">
        <f>0</f>
        <v>0</v>
      </c>
      <c r="Q100" s="55">
        <f>0</f>
        <v>0</v>
      </c>
      <c r="R100" s="55">
        <f>0</f>
        <v>0</v>
      </c>
      <c r="S100" s="55">
        <f>0</f>
        <v>0</v>
      </c>
      <c r="T100" s="55">
        <f>0</f>
        <v>0</v>
      </c>
    </row>
    <row r="101" spans="1:20" ht="15" customHeight="1" outlineLevel="3">
      <c r="A101" s="374" t="s">
        <v>31</v>
      </c>
      <c r="B101" s="46" t="s">
        <v>157</v>
      </c>
      <c r="C101" s="353"/>
      <c r="D101" s="355" t="s">
        <v>266</v>
      </c>
      <c r="E101" s="86">
        <f>0</f>
        <v>0</v>
      </c>
      <c r="F101" s="52">
        <f>0</f>
        <v>0</v>
      </c>
      <c r="G101" s="52">
        <f>0</f>
        <v>0</v>
      </c>
      <c r="H101" s="53">
        <f>0</f>
        <v>0</v>
      </c>
      <c r="I101" s="54">
        <f>0</f>
        <v>0</v>
      </c>
      <c r="J101" s="55">
        <f>0</f>
        <v>0</v>
      </c>
      <c r="K101" s="55">
        <f>0</f>
        <v>0</v>
      </c>
      <c r="L101" s="55">
        <f>0</f>
        <v>0</v>
      </c>
      <c r="M101" s="55">
        <f>0</f>
        <v>0</v>
      </c>
      <c r="N101" s="55">
        <f>0</f>
        <v>0</v>
      </c>
      <c r="O101" s="55">
        <f>0</f>
        <v>0</v>
      </c>
      <c r="P101" s="55">
        <f>0</f>
        <v>0</v>
      </c>
      <c r="Q101" s="55">
        <f>0</f>
        <v>0</v>
      </c>
      <c r="R101" s="55">
        <f>0</f>
        <v>0</v>
      </c>
      <c r="S101" s="55">
        <f>0</f>
        <v>0</v>
      </c>
      <c r="T101" s="55">
        <f>0</f>
        <v>0</v>
      </c>
    </row>
    <row r="102" spans="1:20" ht="15" customHeight="1" outlineLevel="3">
      <c r="A102" s="374" t="s">
        <v>31</v>
      </c>
      <c r="B102" s="46" t="s">
        <v>159</v>
      </c>
      <c r="C102" s="353"/>
      <c r="D102" s="355" t="s">
        <v>268</v>
      </c>
      <c r="E102" s="86">
        <f>0</f>
        <v>0</v>
      </c>
      <c r="F102" s="52">
        <f>0</f>
        <v>0</v>
      </c>
      <c r="G102" s="52">
        <f>0</f>
        <v>0</v>
      </c>
      <c r="H102" s="53">
        <f>0</f>
        <v>0</v>
      </c>
      <c r="I102" s="54">
        <f>0</f>
        <v>0</v>
      </c>
      <c r="J102" s="55">
        <f>0</f>
        <v>0</v>
      </c>
      <c r="K102" s="55">
        <f>0</f>
        <v>0</v>
      </c>
      <c r="L102" s="55">
        <f>0</f>
        <v>0</v>
      </c>
      <c r="M102" s="55">
        <f>0</f>
        <v>0</v>
      </c>
      <c r="N102" s="55">
        <f>0</f>
        <v>0</v>
      </c>
      <c r="O102" s="55">
        <f>0</f>
        <v>0</v>
      </c>
      <c r="P102" s="55">
        <f>0</f>
        <v>0</v>
      </c>
      <c r="Q102" s="55">
        <f>0</f>
        <v>0</v>
      </c>
      <c r="R102" s="55">
        <f>0</f>
        <v>0</v>
      </c>
      <c r="S102" s="55">
        <f>0</f>
        <v>0</v>
      </c>
      <c r="T102" s="55">
        <f>0</f>
        <v>0</v>
      </c>
    </row>
    <row r="103" spans="1:20" ht="15" customHeight="1" outlineLevel="3">
      <c r="A103" s="374" t="s">
        <v>31</v>
      </c>
      <c r="B103" s="46" t="s">
        <v>161</v>
      </c>
      <c r="C103" s="353"/>
      <c r="D103" s="355" t="s">
        <v>269</v>
      </c>
      <c r="E103" s="86">
        <f>0</f>
        <v>0</v>
      </c>
      <c r="F103" s="52">
        <f>0</f>
        <v>0</v>
      </c>
      <c r="G103" s="52">
        <f>0</f>
        <v>0</v>
      </c>
      <c r="H103" s="53">
        <f>0</f>
        <v>0</v>
      </c>
      <c r="I103" s="54">
        <f>0</f>
        <v>0</v>
      </c>
      <c r="J103" s="55">
        <f>0</f>
        <v>0</v>
      </c>
      <c r="K103" s="55">
        <f>0</f>
        <v>0</v>
      </c>
      <c r="L103" s="55">
        <f>0</f>
        <v>0</v>
      </c>
      <c r="M103" s="55">
        <f>0</f>
        <v>0</v>
      </c>
      <c r="N103" s="55">
        <f>0</f>
        <v>0</v>
      </c>
      <c r="O103" s="55">
        <f>0</f>
        <v>0</v>
      </c>
      <c r="P103" s="55">
        <f>0</f>
        <v>0</v>
      </c>
      <c r="Q103" s="55">
        <f>0</f>
        <v>0</v>
      </c>
      <c r="R103" s="55">
        <f>0</f>
        <v>0</v>
      </c>
      <c r="S103" s="55">
        <f>0</f>
        <v>0</v>
      </c>
      <c r="T103" s="55">
        <f>0</f>
        <v>0</v>
      </c>
    </row>
    <row r="104" spans="1:20" ht="15" customHeight="1" outlineLevel="2">
      <c r="A104" s="374" t="s">
        <v>31</v>
      </c>
      <c r="B104" s="47" t="s">
        <v>210</v>
      </c>
      <c r="C104" s="376"/>
      <c r="D104" s="370" t="s">
        <v>270</v>
      </c>
      <c r="E104" s="90">
        <f>0</f>
        <v>0</v>
      </c>
      <c r="F104" s="68">
        <f>0</f>
        <v>0</v>
      </c>
      <c r="G104" s="68">
        <f>0</f>
        <v>0</v>
      </c>
      <c r="H104" s="69">
        <f>0</f>
        <v>0</v>
      </c>
      <c r="I104" s="70">
        <f>0</f>
        <v>0</v>
      </c>
      <c r="J104" s="71">
        <f>0</f>
        <v>0</v>
      </c>
      <c r="K104" s="71">
        <f>0</f>
        <v>0</v>
      </c>
      <c r="L104" s="71">
        <f>0</f>
        <v>0</v>
      </c>
      <c r="M104" s="71">
        <f>0</f>
        <v>0</v>
      </c>
      <c r="N104" s="71">
        <f>0</f>
        <v>0</v>
      </c>
      <c r="O104" s="71">
        <f>0</f>
        <v>0</v>
      </c>
      <c r="P104" s="71">
        <f>0</f>
        <v>0</v>
      </c>
      <c r="Q104" s="71">
        <f>0</f>
        <v>0</v>
      </c>
      <c r="R104" s="71">
        <f>0</f>
        <v>0</v>
      </c>
      <c r="S104" s="71">
        <f>0</f>
        <v>0</v>
      </c>
      <c r="T104" s="71">
        <f>0</f>
        <v>0</v>
      </c>
    </row>
    <row r="106" spans="2:20" ht="14.25"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</row>
    <row r="107" spans="2:20" ht="15">
      <c r="B107" s="148" t="s">
        <v>278</v>
      </c>
      <c r="C107" s="148"/>
      <c r="D107" s="123"/>
      <c r="E107" s="149"/>
      <c r="F107" s="149"/>
      <c r="G107" s="149"/>
      <c r="H107" s="149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</row>
    <row r="108" spans="2:20" ht="15">
      <c r="B108" s="150" t="s">
        <v>423</v>
      </c>
      <c r="C108" s="150"/>
      <c r="D108" s="123"/>
      <c r="E108" s="151"/>
      <c r="F108" s="151"/>
      <c r="G108" s="151"/>
      <c r="H108" s="151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</row>
    <row r="109" spans="2:20" ht="14.25">
      <c r="B109" s="152"/>
      <c r="C109" s="152"/>
      <c r="D109" s="123"/>
      <c r="E109" s="151"/>
      <c r="F109" s="151"/>
      <c r="G109" s="151"/>
      <c r="H109" s="151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</row>
    <row r="110" spans="2:20" ht="14.25">
      <c r="B110" s="152"/>
      <c r="C110" s="152"/>
      <c r="D110" s="123"/>
      <c r="E110" s="151"/>
      <c r="F110" s="151"/>
      <c r="G110" s="151"/>
      <c r="H110" s="151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</row>
    <row r="111" spans="2:20" ht="15">
      <c r="B111" s="153" t="s">
        <v>383</v>
      </c>
      <c r="C111" s="153"/>
      <c r="D111" s="153"/>
      <c r="E111" s="154"/>
      <c r="F111" s="154"/>
      <c r="G111" s="154"/>
      <c r="H111" s="151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</row>
    <row r="112" spans="2:20" ht="14.25" outlineLevel="1">
      <c r="B112" s="155"/>
      <c r="C112" s="155"/>
      <c r="D112" s="156" t="s">
        <v>384</v>
      </c>
      <c r="E112" s="151"/>
      <c r="F112" s="151"/>
      <c r="G112" s="151"/>
      <c r="H112" s="151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</row>
    <row r="113" spans="2:20" ht="14.25" outlineLevel="1">
      <c r="B113" s="155"/>
      <c r="C113" s="155"/>
      <c r="D113" s="157" t="s">
        <v>385</v>
      </c>
      <c r="E113" s="151"/>
      <c r="F113" s="151"/>
      <c r="G113" s="151"/>
      <c r="H113" s="151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</row>
    <row r="114" spans="2:20" ht="14.25" outlineLevel="1">
      <c r="B114" s="155"/>
      <c r="C114" s="155"/>
      <c r="D114" s="158" t="s">
        <v>337</v>
      </c>
      <c r="E114" s="151"/>
      <c r="F114" s="151"/>
      <c r="G114" s="151"/>
      <c r="H114" s="151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</row>
    <row r="115" spans="2:20" ht="14.25" outlineLevel="1">
      <c r="B115" s="304"/>
      <c r="C115" s="304"/>
      <c r="D115" s="305" t="s">
        <v>444</v>
      </c>
      <c r="E115" s="151"/>
      <c r="F115" s="151"/>
      <c r="G115" s="151"/>
      <c r="H115" s="151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</row>
    <row r="116" spans="2:20" ht="14.25" outlineLevel="2">
      <c r="B116" s="357" t="s">
        <v>284</v>
      </c>
      <c r="C116" s="358"/>
      <c r="D116" s="79" t="s">
        <v>332</v>
      </c>
      <c r="E116" s="403" t="s">
        <v>31</v>
      </c>
      <c r="F116" s="404" t="s">
        <v>31</v>
      </c>
      <c r="G116" s="404" t="s">
        <v>31</v>
      </c>
      <c r="H116" s="405" t="s">
        <v>31</v>
      </c>
      <c r="I116" s="340" t="str">
        <f>IF(ROUND(I11+I31+I33,2)&gt;=ROUND(I22-I25,2),"TAK","NIE")</f>
        <v>TAK</v>
      </c>
      <c r="J116" s="336" t="str">
        <f aca="true" t="shared" si="3" ref="J116:T116">IF(ROUND(J11+J31+J33,2)&gt;=ROUND(J22-J25,2),"TAK","NIE")</f>
        <v>TAK</v>
      </c>
      <c r="K116" s="336" t="str">
        <f t="shared" si="3"/>
        <v>TAK</v>
      </c>
      <c r="L116" s="336" t="str">
        <f t="shared" si="3"/>
        <v>TAK</v>
      </c>
      <c r="M116" s="336" t="str">
        <f t="shared" si="3"/>
        <v>TAK</v>
      </c>
      <c r="N116" s="336" t="str">
        <f t="shared" si="3"/>
        <v>TAK</v>
      </c>
      <c r="O116" s="336" t="str">
        <f t="shared" si="3"/>
        <v>TAK</v>
      </c>
      <c r="P116" s="336" t="str">
        <f t="shared" si="3"/>
        <v>TAK</v>
      </c>
      <c r="Q116" s="336" t="str">
        <f t="shared" si="3"/>
        <v>TAK</v>
      </c>
      <c r="R116" s="336" t="str">
        <f t="shared" si="3"/>
        <v>TAK</v>
      </c>
      <c r="S116" s="336" t="str">
        <f t="shared" si="3"/>
        <v>TAK</v>
      </c>
      <c r="T116" s="336" t="str">
        <f t="shared" si="3"/>
        <v>TAK</v>
      </c>
    </row>
    <row r="117" spans="2:20" ht="14.25" outlineLevel="2">
      <c r="B117" s="359"/>
      <c r="C117" s="360"/>
      <c r="D117" s="80" t="s">
        <v>279</v>
      </c>
      <c r="E117" s="406" t="s">
        <v>31</v>
      </c>
      <c r="F117" s="407" t="s">
        <v>31</v>
      </c>
      <c r="G117" s="407" t="s">
        <v>31</v>
      </c>
      <c r="H117" s="408" t="s">
        <v>31</v>
      </c>
      <c r="I117" s="341" t="str">
        <f>IF(I54&lt;=15%,"TAK","NIE")</f>
        <v>TAK</v>
      </c>
      <c r="J117" s="334" t="s">
        <v>31</v>
      </c>
      <c r="K117" s="334" t="s">
        <v>31</v>
      </c>
      <c r="L117" s="334" t="s">
        <v>31</v>
      </c>
      <c r="M117" s="334" t="s">
        <v>31</v>
      </c>
      <c r="N117" s="334" t="s">
        <v>31</v>
      </c>
      <c r="O117" s="334" t="s">
        <v>31</v>
      </c>
      <c r="P117" s="334" t="s">
        <v>31</v>
      </c>
      <c r="Q117" s="334" t="s">
        <v>31</v>
      </c>
      <c r="R117" s="334" t="s">
        <v>31</v>
      </c>
      <c r="S117" s="334" t="s">
        <v>31</v>
      </c>
      <c r="T117" s="334" t="s">
        <v>31</v>
      </c>
    </row>
    <row r="118" spans="2:20" ht="14.25" outlineLevel="2">
      <c r="B118" s="359"/>
      <c r="C118" s="360"/>
      <c r="D118" s="80" t="s">
        <v>280</v>
      </c>
      <c r="E118" s="406" t="s">
        <v>31</v>
      </c>
      <c r="F118" s="407" t="s">
        <v>31</v>
      </c>
      <c r="G118" s="407" t="s">
        <v>31</v>
      </c>
      <c r="H118" s="408" t="s">
        <v>31</v>
      </c>
      <c r="I118" s="341" t="str">
        <f>IF(I55&lt;=15%,"TAK","NIE")</f>
        <v>TAK</v>
      </c>
      <c r="J118" s="334" t="s">
        <v>31</v>
      </c>
      <c r="K118" s="334" t="s">
        <v>31</v>
      </c>
      <c r="L118" s="334" t="s">
        <v>31</v>
      </c>
      <c r="M118" s="334" t="s">
        <v>31</v>
      </c>
      <c r="N118" s="334" t="s">
        <v>31</v>
      </c>
      <c r="O118" s="334" t="s">
        <v>31</v>
      </c>
      <c r="P118" s="334" t="s">
        <v>31</v>
      </c>
      <c r="Q118" s="334" t="s">
        <v>31</v>
      </c>
      <c r="R118" s="334" t="s">
        <v>31</v>
      </c>
      <c r="S118" s="334" t="s">
        <v>31</v>
      </c>
      <c r="T118" s="334" t="s">
        <v>31</v>
      </c>
    </row>
    <row r="119" spans="2:20" ht="14.25" outlineLevel="2">
      <c r="B119" s="359"/>
      <c r="C119" s="360"/>
      <c r="D119" s="80" t="s">
        <v>386</v>
      </c>
      <c r="E119" s="406" t="s">
        <v>31</v>
      </c>
      <c r="F119" s="407" t="s">
        <v>31</v>
      </c>
      <c r="G119" s="407" t="s">
        <v>31</v>
      </c>
      <c r="H119" s="408" t="s">
        <v>31</v>
      </c>
      <c r="I119" s="341" t="str">
        <f>IF(I47&lt;=60%,"TAK","NIE")</f>
        <v>TAK</v>
      </c>
      <c r="J119" s="334" t="s">
        <v>31</v>
      </c>
      <c r="K119" s="334" t="s">
        <v>31</v>
      </c>
      <c r="L119" s="334" t="s">
        <v>31</v>
      </c>
      <c r="M119" s="334" t="s">
        <v>31</v>
      </c>
      <c r="N119" s="334" t="s">
        <v>31</v>
      </c>
      <c r="O119" s="334" t="s">
        <v>31</v>
      </c>
      <c r="P119" s="334" t="s">
        <v>31</v>
      </c>
      <c r="Q119" s="334" t="s">
        <v>31</v>
      </c>
      <c r="R119" s="334" t="s">
        <v>31</v>
      </c>
      <c r="S119" s="334" t="s">
        <v>31</v>
      </c>
      <c r="T119" s="334" t="s">
        <v>31</v>
      </c>
    </row>
    <row r="120" spans="2:20" ht="14.25" outlineLevel="2">
      <c r="B120" s="359"/>
      <c r="C120" s="360"/>
      <c r="D120" s="80" t="s">
        <v>281</v>
      </c>
      <c r="E120" s="406" t="s">
        <v>31</v>
      </c>
      <c r="F120" s="407" t="s">
        <v>31</v>
      </c>
      <c r="G120" s="407" t="s">
        <v>31</v>
      </c>
      <c r="H120" s="408" t="s">
        <v>31</v>
      </c>
      <c r="I120" s="341" t="str">
        <f>IF(I48&lt;=60%,"TAK","NIE")</f>
        <v>TAK</v>
      </c>
      <c r="J120" s="334" t="s">
        <v>31</v>
      </c>
      <c r="K120" s="334" t="s">
        <v>31</v>
      </c>
      <c r="L120" s="334" t="s">
        <v>31</v>
      </c>
      <c r="M120" s="334" t="s">
        <v>31</v>
      </c>
      <c r="N120" s="334" t="s">
        <v>31</v>
      </c>
      <c r="O120" s="334" t="s">
        <v>31</v>
      </c>
      <c r="P120" s="334" t="s">
        <v>31</v>
      </c>
      <c r="Q120" s="334" t="s">
        <v>31</v>
      </c>
      <c r="R120" s="334" t="s">
        <v>31</v>
      </c>
      <c r="S120" s="334" t="s">
        <v>31</v>
      </c>
      <c r="T120" s="334" t="s">
        <v>31</v>
      </c>
    </row>
    <row r="121" spans="2:20" ht="24" outlineLevel="2">
      <c r="B121" s="359" t="s">
        <v>282</v>
      </c>
      <c r="C121" s="360"/>
      <c r="D121" s="80" t="s">
        <v>404</v>
      </c>
      <c r="E121" s="406" t="s">
        <v>31</v>
      </c>
      <c r="F121" s="407" t="s">
        <v>31</v>
      </c>
      <c r="G121" s="407" t="s">
        <v>31</v>
      </c>
      <c r="H121" s="408" t="s">
        <v>31</v>
      </c>
      <c r="I121" s="341" t="s">
        <v>31</v>
      </c>
      <c r="J121" s="334" t="s">
        <v>31</v>
      </c>
      <c r="K121" s="334" t="str">
        <f aca="true" t="shared" si="4" ref="K121:T121">IF(K92=0,"TAK","BŁĄD")</f>
        <v>TAK</v>
      </c>
      <c r="L121" s="334" t="str">
        <f t="shared" si="4"/>
        <v>TAK</v>
      </c>
      <c r="M121" s="334" t="str">
        <f t="shared" si="4"/>
        <v>TAK</v>
      </c>
      <c r="N121" s="334" t="str">
        <f t="shared" si="4"/>
        <v>TAK</v>
      </c>
      <c r="O121" s="334" t="str">
        <f t="shared" si="4"/>
        <v>TAK</v>
      </c>
      <c r="P121" s="334" t="str">
        <f t="shared" si="4"/>
        <v>TAK</v>
      </c>
      <c r="Q121" s="334" t="str">
        <f t="shared" si="4"/>
        <v>TAK</v>
      </c>
      <c r="R121" s="334" t="str">
        <f t="shared" si="4"/>
        <v>TAK</v>
      </c>
      <c r="S121" s="334" t="str">
        <f t="shared" si="4"/>
        <v>TAK</v>
      </c>
      <c r="T121" s="334" t="str">
        <f t="shared" si="4"/>
        <v>TAK</v>
      </c>
    </row>
    <row r="122" spans="2:20" ht="14.25" outlineLevel="1">
      <c r="B122" s="359" t="s">
        <v>283</v>
      </c>
      <c r="C122" s="360"/>
      <c r="D122" s="81" t="s">
        <v>333</v>
      </c>
      <c r="E122" s="406" t="s">
        <v>31</v>
      </c>
      <c r="F122" s="407" t="s">
        <v>31</v>
      </c>
      <c r="G122" s="407" t="s">
        <v>31</v>
      </c>
      <c r="H122" s="408" t="s">
        <v>31</v>
      </c>
      <c r="I122" s="346" t="str">
        <f>IF(ROUND(I10+I30-I21-I39,2)=0,"OK",ROUND(I10+I30-I21-I39,2))</f>
        <v>OK</v>
      </c>
      <c r="J122" s="347" t="str">
        <f aca="true" t="shared" si="5" ref="J122:T122">IF(ROUND(J10+J30-J21-J39,2)=0,"OK",ROUND(J10+J30-J21-J39,2))</f>
        <v>OK</v>
      </c>
      <c r="K122" s="347" t="str">
        <f t="shared" si="5"/>
        <v>OK</v>
      </c>
      <c r="L122" s="347" t="str">
        <f t="shared" si="5"/>
        <v>OK</v>
      </c>
      <c r="M122" s="347" t="str">
        <f t="shared" si="5"/>
        <v>OK</v>
      </c>
      <c r="N122" s="347" t="str">
        <f t="shared" si="5"/>
        <v>OK</v>
      </c>
      <c r="O122" s="347" t="str">
        <f t="shared" si="5"/>
        <v>OK</v>
      </c>
      <c r="P122" s="347" t="str">
        <f t="shared" si="5"/>
        <v>OK</v>
      </c>
      <c r="Q122" s="347" t="str">
        <f t="shared" si="5"/>
        <v>OK</v>
      </c>
      <c r="R122" s="347" t="str">
        <f t="shared" si="5"/>
        <v>OK</v>
      </c>
      <c r="S122" s="347" t="str">
        <f t="shared" si="5"/>
        <v>OK</v>
      </c>
      <c r="T122" s="347" t="str">
        <f t="shared" si="5"/>
        <v>OK</v>
      </c>
    </row>
    <row r="123" spans="2:20" ht="14.25" outlineLevel="2">
      <c r="B123" s="372" t="s">
        <v>466</v>
      </c>
      <c r="C123" s="377"/>
      <c r="D123" s="81" t="s">
        <v>334</v>
      </c>
      <c r="E123" s="406" t="s">
        <v>31</v>
      </c>
      <c r="F123" s="407" t="s">
        <v>31</v>
      </c>
      <c r="G123" s="407" t="s">
        <v>31</v>
      </c>
      <c r="H123" s="408" t="s">
        <v>31</v>
      </c>
      <c r="I123" s="346">
        <f aca="true" t="shared" si="6" ref="I123:T123">+IF(ROUND(H44+I35-I40+(I99-H99)+I104-I44,2)=0,"OK",ROUND(H44+I35-I40+(I99-H99)+I104-I44,2))</f>
        <v>0.09</v>
      </c>
      <c r="J123" s="347" t="str">
        <f t="shared" si="6"/>
        <v>OK</v>
      </c>
      <c r="K123" s="347" t="str">
        <f t="shared" si="6"/>
        <v>OK</v>
      </c>
      <c r="L123" s="347" t="str">
        <f t="shared" si="6"/>
        <v>OK</v>
      </c>
      <c r="M123" s="347" t="str">
        <f t="shared" si="6"/>
        <v>OK</v>
      </c>
      <c r="N123" s="347" t="str">
        <f t="shared" si="6"/>
        <v>OK</v>
      </c>
      <c r="O123" s="347" t="str">
        <f t="shared" si="6"/>
        <v>OK</v>
      </c>
      <c r="P123" s="347" t="str">
        <f t="shared" si="6"/>
        <v>OK</v>
      </c>
      <c r="Q123" s="347" t="str">
        <f t="shared" si="6"/>
        <v>OK</v>
      </c>
      <c r="R123" s="347" t="str">
        <f t="shared" si="6"/>
        <v>OK</v>
      </c>
      <c r="S123" s="347" t="str">
        <f t="shared" si="6"/>
        <v>OK</v>
      </c>
      <c r="T123" s="347" t="str">
        <f t="shared" si="6"/>
        <v>OK</v>
      </c>
    </row>
    <row r="124" spans="2:20" ht="48" outlineLevel="2">
      <c r="B124" s="372" t="s">
        <v>467</v>
      </c>
      <c r="C124" s="377"/>
      <c r="D124" s="81" t="s">
        <v>481</v>
      </c>
      <c r="E124" s="409" t="s">
        <v>31</v>
      </c>
      <c r="F124" s="407" t="s">
        <v>31</v>
      </c>
      <c r="G124" s="407" t="s">
        <v>31</v>
      </c>
      <c r="H124" s="408" t="s">
        <v>31</v>
      </c>
      <c r="I124" s="347" t="str">
        <f>+IF(H99=0,"N/D",IF(ROUND(I99+I100-H99,2)=0,"OK",ROUND(I99+I100-H99,2)))</f>
        <v>N/D</v>
      </c>
      <c r="J124" s="347" t="str">
        <f aca="true" t="shared" si="7" ref="J124:T124">+IF(I99=0,"N/D",IF(ROUND(J99+J100-I99,2)=0,"OK",ROUND(J99+J100-I99,2)))</f>
        <v>N/D</v>
      </c>
      <c r="K124" s="347" t="str">
        <f t="shared" si="7"/>
        <v>N/D</v>
      </c>
      <c r="L124" s="347" t="str">
        <f t="shared" si="7"/>
        <v>N/D</v>
      </c>
      <c r="M124" s="347" t="str">
        <f t="shared" si="7"/>
        <v>N/D</v>
      </c>
      <c r="N124" s="347" t="str">
        <f t="shared" si="7"/>
        <v>N/D</v>
      </c>
      <c r="O124" s="347" t="str">
        <f t="shared" si="7"/>
        <v>N/D</v>
      </c>
      <c r="P124" s="347" t="str">
        <f t="shared" si="7"/>
        <v>N/D</v>
      </c>
      <c r="Q124" s="347" t="str">
        <f t="shared" si="7"/>
        <v>N/D</v>
      </c>
      <c r="R124" s="347" t="str">
        <f t="shared" si="7"/>
        <v>N/D</v>
      </c>
      <c r="S124" s="347" t="str">
        <f t="shared" si="7"/>
        <v>N/D</v>
      </c>
      <c r="T124" s="347" t="str">
        <f t="shared" si="7"/>
        <v>N/D</v>
      </c>
    </row>
    <row r="125" spans="2:20" ht="36" outlineLevel="2">
      <c r="B125" s="372" t="s">
        <v>469</v>
      </c>
      <c r="C125" s="377"/>
      <c r="D125" s="81" t="s">
        <v>468</v>
      </c>
      <c r="E125" s="406" t="s">
        <v>31</v>
      </c>
      <c r="F125" s="407" t="s">
        <v>31</v>
      </c>
      <c r="G125" s="407" t="s">
        <v>31</v>
      </c>
      <c r="H125" s="408" t="s">
        <v>31</v>
      </c>
      <c r="I125" s="346" t="str">
        <f>+IF(H90=0,"N/D",IF(ROUND(I90+(I92+I93+I94+I95)-H90,2)=0,"OK",ROUND(I90+(I92+I93+I94+I95)-H90,2)))</f>
        <v>N/D</v>
      </c>
      <c r="J125" s="347" t="str">
        <f aca="true" t="shared" si="8" ref="J125:T125">+IF(I90=0,"N/D",IF(ROUND(J90+(J92+J93+J94+J95)-I90,2)=0,"OK",ROUND(J90+(J92+J93+J94+J95)-I90,2)))</f>
        <v>N/D</v>
      </c>
      <c r="K125" s="347" t="str">
        <f t="shared" si="8"/>
        <v>N/D</v>
      </c>
      <c r="L125" s="347" t="str">
        <f t="shared" si="8"/>
        <v>N/D</v>
      </c>
      <c r="M125" s="347" t="str">
        <f t="shared" si="8"/>
        <v>N/D</v>
      </c>
      <c r="N125" s="347" t="str">
        <f t="shared" si="8"/>
        <v>N/D</v>
      </c>
      <c r="O125" s="347" t="str">
        <f t="shared" si="8"/>
        <v>N/D</v>
      </c>
      <c r="P125" s="347" t="str">
        <f t="shared" si="8"/>
        <v>N/D</v>
      </c>
      <c r="Q125" s="347" t="str">
        <f t="shared" si="8"/>
        <v>N/D</v>
      </c>
      <c r="R125" s="347" t="str">
        <f t="shared" si="8"/>
        <v>N/D</v>
      </c>
      <c r="S125" s="347" t="str">
        <f t="shared" si="8"/>
        <v>N/D</v>
      </c>
      <c r="T125" s="347" t="str">
        <f t="shared" si="8"/>
        <v>N/D</v>
      </c>
    </row>
    <row r="126" spans="2:20" ht="14.25" outlineLevel="1">
      <c r="B126" s="359" t="s">
        <v>285</v>
      </c>
      <c r="C126" s="360"/>
      <c r="D126" s="82" t="s">
        <v>335</v>
      </c>
      <c r="E126" s="406" t="s">
        <v>31</v>
      </c>
      <c r="F126" s="407" t="s">
        <v>31</v>
      </c>
      <c r="G126" s="407" t="s">
        <v>31</v>
      </c>
      <c r="H126" s="408" t="s">
        <v>31</v>
      </c>
      <c r="I126" s="343" t="str">
        <f>IF(I29&lt;0,IF(ROUND(I32+I34+I36+I38+I29,2)=0,"OK",ROUND(I32+I34+I36+I38+I29,2)),"N/D")</f>
        <v>N/D</v>
      </c>
      <c r="J126" s="344" t="str">
        <f aca="true" t="shared" si="9" ref="J126:T126">IF(J29&lt;0,IF(ROUND(J32+J34+J36+J38+J29,2)=0,"OK",ROUND(J32+J34+J36+J38+J29,2)),"N/D")</f>
        <v>N/D</v>
      </c>
      <c r="K126" s="344" t="str">
        <f t="shared" si="9"/>
        <v>N/D</v>
      </c>
      <c r="L126" s="344" t="str">
        <f t="shared" si="9"/>
        <v>N/D</v>
      </c>
      <c r="M126" s="344" t="str">
        <f t="shared" si="9"/>
        <v>N/D</v>
      </c>
      <c r="N126" s="344" t="str">
        <f t="shared" si="9"/>
        <v>N/D</v>
      </c>
      <c r="O126" s="344" t="str">
        <f t="shared" si="9"/>
        <v>N/D</v>
      </c>
      <c r="P126" s="344" t="str">
        <f t="shared" si="9"/>
        <v>N/D</v>
      </c>
      <c r="Q126" s="344" t="str">
        <f t="shared" si="9"/>
        <v>N/D</v>
      </c>
      <c r="R126" s="344" t="str">
        <f t="shared" si="9"/>
        <v>N/D</v>
      </c>
      <c r="S126" s="344" t="str">
        <f t="shared" si="9"/>
        <v>N/D</v>
      </c>
      <c r="T126" s="344" t="str">
        <f t="shared" si="9"/>
        <v>N/D</v>
      </c>
    </row>
    <row r="127" spans="2:20" ht="14.25" outlineLevel="2">
      <c r="B127" s="359" t="s">
        <v>286</v>
      </c>
      <c r="C127" s="360"/>
      <c r="D127" s="82" t="s">
        <v>336</v>
      </c>
      <c r="E127" s="406" t="s">
        <v>31</v>
      </c>
      <c r="F127" s="407" t="s">
        <v>31</v>
      </c>
      <c r="G127" s="407" t="s">
        <v>31</v>
      </c>
      <c r="H127" s="408" t="s">
        <v>31</v>
      </c>
      <c r="I127" s="343" t="str">
        <f>IF(I29&gt;=0,IF(ROUND(I32+I34+I36+I38,2)=0,"OK",ROUND(I32+I34+I36+I38,2)),"N/D")</f>
        <v>OK</v>
      </c>
      <c r="J127" s="344" t="str">
        <f aca="true" t="shared" si="10" ref="J127:T127">IF(J29&gt;=0,IF(ROUND(J32+J34+J36+J38,2)=0,"OK",ROUND(J32+J34+J36+J38,2)),"N/D")</f>
        <v>OK</v>
      </c>
      <c r="K127" s="344" t="str">
        <f t="shared" si="10"/>
        <v>OK</v>
      </c>
      <c r="L127" s="344" t="str">
        <f t="shared" si="10"/>
        <v>OK</v>
      </c>
      <c r="M127" s="344" t="str">
        <f t="shared" si="10"/>
        <v>OK</v>
      </c>
      <c r="N127" s="344" t="str">
        <f t="shared" si="10"/>
        <v>OK</v>
      </c>
      <c r="O127" s="344" t="str">
        <f t="shared" si="10"/>
        <v>OK</v>
      </c>
      <c r="P127" s="344" t="str">
        <f t="shared" si="10"/>
        <v>OK</v>
      </c>
      <c r="Q127" s="344" t="str">
        <f t="shared" si="10"/>
        <v>OK</v>
      </c>
      <c r="R127" s="344" t="str">
        <f t="shared" si="10"/>
        <v>OK</v>
      </c>
      <c r="S127" s="344" t="str">
        <f t="shared" si="10"/>
        <v>OK</v>
      </c>
      <c r="T127" s="344" t="str">
        <f t="shared" si="10"/>
        <v>OK</v>
      </c>
    </row>
    <row r="128" spans="2:20" ht="14.25" outlineLevel="2">
      <c r="B128" s="359" t="s">
        <v>287</v>
      </c>
      <c r="C128" s="360"/>
      <c r="D128" s="82" t="s">
        <v>338</v>
      </c>
      <c r="E128" s="406" t="s">
        <v>31</v>
      </c>
      <c r="F128" s="407" t="s">
        <v>31</v>
      </c>
      <c r="G128" s="407" t="s">
        <v>31</v>
      </c>
      <c r="H128" s="408" t="s">
        <v>31</v>
      </c>
      <c r="I128" s="341" t="str">
        <f aca="true" t="shared" si="11" ref="I128:T128">IF(I14&gt;=I15,"OK","BŁĄD")</f>
        <v>OK</v>
      </c>
      <c r="J128" s="334" t="str">
        <f t="shared" si="11"/>
        <v>OK</v>
      </c>
      <c r="K128" s="334" t="str">
        <f t="shared" si="11"/>
        <v>OK</v>
      </c>
      <c r="L128" s="334" t="str">
        <f t="shared" si="11"/>
        <v>OK</v>
      </c>
      <c r="M128" s="334" t="str">
        <f t="shared" si="11"/>
        <v>OK</v>
      </c>
      <c r="N128" s="334" t="str">
        <f t="shared" si="11"/>
        <v>OK</v>
      </c>
      <c r="O128" s="334" t="str">
        <f t="shared" si="11"/>
        <v>OK</v>
      </c>
      <c r="P128" s="334" t="str">
        <f t="shared" si="11"/>
        <v>OK</v>
      </c>
      <c r="Q128" s="334" t="str">
        <f t="shared" si="11"/>
        <v>OK</v>
      </c>
      <c r="R128" s="334" t="str">
        <f t="shared" si="11"/>
        <v>OK</v>
      </c>
      <c r="S128" s="334" t="str">
        <f t="shared" si="11"/>
        <v>OK</v>
      </c>
      <c r="T128" s="334" t="str">
        <f t="shared" si="11"/>
        <v>OK</v>
      </c>
    </row>
    <row r="129" spans="2:20" ht="14.25" outlineLevel="2">
      <c r="B129" s="359" t="s">
        <v>288</v>
      </c>
      <c r="C129" s="360"/>
      <c r="D129" s="82" t="s">
        <v>339</v>
      </c>
      <c r="E129" s="406" t="s">
        <v>31</v>
      </c>
      <c r="F129" s="407" t="s">
        <v>31</v>
      </c>
      <c r="G129" s="407" t="s">
        <v>31</v>
      </c>
      <c r="H129" s="408" t="s">
        <v>31</v>
      </c>
      <c r="I129" s="341" t="str">
        <f aca="true" t="shared" si="12" ref="I129:T129">IF(I17&gt;=I91,"OK","BŁĄD")</f>
        <v>OK</v>
      </c>
      <c r="J129" s="334" t="str">
        <f t="shared" si="12"/>
        <v>OK</v>
      </c>
      <c r="K129" s="334" t="str">
        <f t="shared" si="12"/>
        <v>OK</v>
      </c>
      <c r="L129" s="334" t="str">
        <f t="shared" si="12"/>
        <v>OK</v>
      </c>
      <c r="M129" s="334" t="str">
        <f t="shared" si="12"/>
        <v>OK</v>
      </c>
      <c r="N129" s="334" t="str">
        <f t="shared" si="12"/>
        <v>OK</v>
      </c>
      <c r="O129" s="334" t="str">
        <f t="shared" si="12"/>
        <v>OK</v>
      </c>
      <c r="P129" s="334" t="str">
        <f t="shared" si="12"/>
        <v>OK</v>
      </c>
      <c r="Q129" s="334" t="str">
        <f t="shared" si="12"/>
        <v>OK</v>
      </c>
      <c r="R129" s="334" t="str">
        <f t="shared" si="12"/>
        <v>OK</v>
      </c>
      <c r="S129" s="334" t="str">
        <f t="shared" si="12"/>
        <v>OK</v>
      </c>
      <c r="T129" s="334" t="str">
        <f t="shared" si="12"/>
        <v>OK</v>
      </c>
    </row>
    <row r="130" spans="2:20" ht="14.25" outlineLevel="2">
      <c r="B130" s="359" t="s">
        <v>289</v>
      </c>
      <c r="C130" s="360"/>
      <c r="D130" s="82" t="s">
        <v>340</v>
      </c>
      <c r="E130" s="406" t="s">
        <v>31</v>
      </c>
      <c r="F130" s="407" t="s">
        <v>31</v>
      </c>
      <c r="G130" s="407" t="s">
        <v>31</v>
      </c>
      <c r="H130" s="408" t="s">
        <v>31</v>
      </c>
      <c r="I130" s="341" t="str">
        <f aca="true" t="shared" si="13" ref="I130:T130">IF(I11&gt;=I12+I13+I14+I16+I17,"OK","BŁĄD")</f>
        <v>OK</v>
      </c>
      <c r="J130" s="334" t="str">
        <f t="shared" si="13"/>
        <v>OK</v>
      </c>
      <c r="K130" s="334" t="str">
        <f t="shared" si="13"/>
        <v>OK</v>
      </c>
      <c r="L130" s="334" t="str">
        <f t="shared" si="13"/>
        <v>OK</v>
      </c>
      <c r="M130" s="334" t="str">
        <f t="shared" si="13"/>
        <v>OK</v>
      </c>
      <c r="N130" s="334" t="str">
        <f t="shared" si="13"/>
        <v>OK</v>
      </c>
      <c r="O130" s="334" t="str">
        <f t="shared" si="13"/>
        <v>OK</v>
      </c>
      <c r="P130" s="334" t="str">
        <f t="shared" si="13"/>
        <v>OK</v>
      </c>
      <c r="Q130" s="334" t="str">
        <f t="shared" si="13"/>
        <v>OK</v>
      </c>
      <c r="R130" s="334" t="str">
        <f t="shared" si="13"/>
        <v>OK</v>
      </c>
      <c r="S130" s="334" t="str">
        <f t="shared" si="13"/>
        <v>OK</v>
      </c>
      <c r="T130" s="334" t="str">
        <f t="shared" si="13"/>
        <v>OK</v>
      </c>
    </row>
    <row r="131" spans="2:20" ht="14.25" outlineLevel="2">
      <c r="B131" s="359" t="s">
        <v>290</v>
      </c>
      <c r="C131" s="360"/>
      <c r="D131" s="82" t="s">
        <v>341</v>
      </c>
      <c r="E131" s="406" t="s">
        <v>31</v>
      </c>
      <c r="F131" s="407" t="s">
        <v>31</v>
      </c>
      <c r="G131" s="407" t="s">
        <v>31</v>
      </c>
      <c r="H131" s="408" t="s">
        <v>31</v>
      </c>
      <c r="I131" s="341" t="str">
        <f aca="true" t="shared" si="14" ref="I131:T131">IF(I11&gt;=I77,"OK","BŁĄD")</f>
        <v>OK</v>
      </c>
      <c r="J131" s="334" t="str">
        <f t="shared" si="14"/>
        <v>OK</v>
      </c>
      <c r="K131" s="334" t="str">
        <f t="shared" si="14"/>
        <v>OK</v>
      </c>
      <c r="L131" s="334" t="str">
        <f t="shared" si="14"/>
        <v>OK</v>
      </c>
      <c r="M131" s="334" t="str">
        <f t="shared" si="14"/>
        <v>OK</v>
      </c>
      <c r="N131" s="334" t="str">
        <f t="shared" si="14"/>
        <v>OK</v>
      </c>
      <c r="O131" s="334" t="str">
        <f t="shared" si="14"/>
        <v>OK</v>
      </c>
      <c r="P131" s="334" t="str">
        <f t="shared" si="14"/>
        <v>OK</v>
      </c>
      <c r="Q131" s="334" t="str">
        <f t="shared" si="14"/>
        <v>OK</v>
      </c>
      <c r="R131" s="334" t="str">
        <f t="shared" si="14"/>
        <v>OK</v>
      </c>
      <c r="S131" s="334" t="str">
        <f t="shared" si="14"/>
        <v>OK</v>
      </c>
      <c r="T131" s="334" t="str">
        <f t="shared" si="14"/>
        <v>OK</v>
      </c>
    </row>
    <row r="132" spans="2:20" ht="14.25" outlineLevel="2">
      <c r="B132" s="359" t="s">
        <v>291</v>
      </c>
      <c r="C132" s="360"/>
      <c r="D132" s="82" t="s">
        <v>342</v>
      </c>
      <c r="E132" s="406" t="s">
        <v>31</v>
      </c>
      <c r="F132" s="407" t="s">
        <v>31</v>
      </c>
      <c r="G132" s="407" t="s">
        <v>31</v>
      </c>
      <c r="H132" s="408" t="s">
        <v>31</v>
      </c>
      <c r="I132" s="341" t="str">
        <f aca="true" t="shared" si="15" ref="I132:T132">IF(I18&gt;=I19,"OK","BŁĄD")</f>
        <v>OK</v>
      </c>
      <c r="J132" s="334" t="str">
        <f t="shared" si="15"/>
        <v>OK</v>
      </c>
      <c r="K132" s="334" t="str">
        <f t="shared" si="15"/>
        <v>OK</v>
      </c>
      <c r="L132" s="334" t="str">
        <f t="shared" si="15"/>
        <v>OK</v>
      </c>
      <c r="M132" s="334" t="str">
        <f t="shared" si="15"/>
        <v>OK</v>
      </c>
      <c r="N132" s="334" t="str">
        <f t="shared" si="15"/>
        <v>OK</v>
      </c>
      <c r="O132" s="334" t="str">
        <f t="shared" si="15"/>
        <v>OK</v>
      </c>
      <c r="P132" s="334" t="str">
        <f t="shared" si="15"/>
        <v>OK</v>
      </c>
      <c r="Q132" s="334" t="str">
        <f t="shared" si="15"/>
        <v>OK</v>
      </c>
      <c r="R132" s="334" t="str">
        <f t="shared" si="15"/>
        <v>OK</v>
      </c>
      <c r="S132" s="334" t="str">
        <f t="shared" si="15"/>
        <v>OK</v>
      </c>
      <c r="T132" s="334" t="str">
        <f t="shared" si="15"/>
        <v>OK</v>
      </c>
    </row>
    <row r="133" spans="2:20" ht="14.25" outlineLevel="2">
      <c r="B133" s="359" t="s">
        <v>292</v>
      </c>
      <c r="C133" s="360"/>
      <c r="D133" s="82" t="s">
        <v>343</v>
      </c>
      <c r="E133" s="406" t="s">
        <v>31</v>
      </c>
      <c r="F133" s="407" t="s">
        <v>31</v>
      </c>
      <c r="G133" s="407" t="s">
        <v>31</v>
      </c>
      <c r="H133" s="408" t="s">
        <v>31</v>
      </c>
      <c r="I133" s="341" t="str">
        <f aca="true" t="shared" si="16" ref="I133:T133">IF(I18&gt;=I20,"OK","BŁĄD")</f>
        <v>OK</v>
      </c>
      <c r="J133" s="334" t="str">
        <f t="shared" si="16"/>
        <v>OK</v>
      </c>
      <c r="K133" s="334" t="str">
        <f t="shared" si="16"/>
        <v>OK</v>
      </c>
      <c r="L133" s="334" t="str">
        <f t="shared" si="16"/>
        <v>OK</v>
      </c>
      <c r="M133" s="334" t="str">
        <f t="shared" si="16"/>
        <v>OK</v>
      </c>
      <c r="N133" s="334" t="str">
        <f t="shared" si="16"/>
        <v>OK</v>
      </c>
      <c r="O133" s="334" t="str">
        <f t="shared" si="16"/>
        <v>OK</v>
      </c>
      <c r="P133" s="334" t="str">
        <f t="shared" si="16"/>
        <v>OK</v>
      </c>
      <c r="Q133" s="334" t="str">
        <f t="shared" si="16"/>
        <v>OK</v>
      </c>
      <c r="R133" s="334" t="str">
        <f t="shared" si="16"/>
        <v>OK</v>
      </c>
      <c r="S133" s="334" t="str">
        <f t="shared" si="16"/>
        <v>OK</v>
      </c>
      <c r="T133" s="334" t="str">
        <f t="shared" si="16"/>
        <v>OK</v>
      </c>
    </row>
    <row r="134" spans="2:20" ht="14.25" outlineLevel="2">
      <c r="B134" s="359" t="s">
        <v>293</v>
      </c>
      <c r="C134" s="360"/>
      <c r="D134" s="82" t="s">
        <v>344</v>
      </c>
      <c r="E134" s="406" t="s">
        <v>31</v>
      </c>
      <c r="F134" s="407" t="s">
        <v>31</v>
      </c>
      <c r="G134" s="407" t="s">
        <v>31</v>
      </c>
      <c r="H134" s="408" t="s">
        <v>31</v>
      </c>
      <c r="I134" s="341" t="str">
        <f aca="true" t="shared" si="17" ref="I134:T134">IF(I18&gt;=I80,"OK","BŁĄD")</f>
        <v>OK</v>
      </c>
      <c r="J134" s="334" t="str">
        <f t="shared" si="17"/>
        <v>OK</v>
      </c>
      <c r="K134" s="334" t="str">
        <f t="shared" si="17"/>
        <v>OK</v>
      </c>
      <c r="L134" s="334" t="str">
        <f t="shared" si="17"/>
        <v>OK</v>
      </c>
      <c r="M134" s="334" t="str">
        <f t="shared" si="17"/>
        <v>OK</v>
      </c>
      <c r="N134" s="334" t="str">
        <f t="shared" si="17"/>
        <v>OK</v>
      </c>
      <c r="O134" s="334" t="str">
        <f t="shared" si="17"/>
        <v>OK</v>
      </c>
      <c r="P134" s="334" t="str">
        <f t="shared" si="17"/>
        <v>OK</v>
      </c>
      <c r="Q134" s="334" t="str">
        <f t="shared" si="17"/>
        <v>OK</v>
      </c>
      <c r="R134" s="334" t="str">
        <f t="shared" si="17"/>
        <v>OK</v>
      </c>
      <c r="S134" s="334" t="str">
        <f t="shared" si="17"/>
        <v>OK</v>
      </c>
      <c r="T134" s="334" t="str">
        <f t="shared" si="17"/>
        <v>OK</v>
      </c>
    </row>
    <row r="135" spans="2:20" ht="14.25" outlineLevel="2">
      <c r="B135" s="359" t="s">
        <v>294</v>
      </c>
      <c r="C135" s="360"/>
      <c r="D135" s="82" t="s">
        <v>345</v>
      </c>
      <c r="E135" s="406" t="s">
        <v>31</v>
      </c>
      <c r="F135" s="407" t="s">
        <v>31</v>
      </c>
      <c r="G135" s="407" t="s">
        <v>31</v>
      </c>
      <c r="H135" s="408" t="s">
        <v>31</v>
      </c>
      <c r="I135" s="341" t="str">
        <f aca="true" t="shared" si="18" ref="I135:T135">IF(I65&gt;=I66,"OK","BŁĄD")</f>
        <v>OK</v>
      </c>
      <c r="J135" s="334" t="str">
        <f t="shared" si="18"/>
        <v>OK</v>
      </c>
      <c r="K135" s="334" t="str">
        <f t="shared" si="18"/>
        <v>OK</v>
      </c>
      <c r="L135" s="334" t="str">
        <f t="shared" si="18"/>
        <v>OK</v>
      </c>
      <c r="M135" s="334" t="str">
        <f t="shared" si="18"/>
        <v>OK</v>
      </c>
      <c r="N135" s="334" t="str">
        <f t="shared" si="18"/>
        <v>OK</v>
      </c>
      <c r="O135" s="334" t="str">
        <f t="shared" si="18"/>
        <v>OK</v>
      </c>
      <c r="P135" s="334" t="str">
        <f t="shared" si="18"/>
        <v>OK</v>
      </c>
      <c r="Q135" s="334" t="str">
        <f t="shared" si="18"/>
        <v>OK</v>
      </c>
      <c r="R135" s="334" t="str">
        <f t="shared" si="18"/>
        <v>OK</v>
      </c>
      <c r="S135" s="334" t="str">
        <f t="shared" si="18"/>
        <v>OK</v>
      </c>
      <c r="T135" s="334" t="str">
        <f t="shared" si="18"/>
        <v>OK</v>
      </c>
    </row>
    <row r="136" spans="2:20" ht="14.25" outlineLevel="2">
      <c r="B136" s="359" t="s">
        <v>296</v>
      </c>
      <c r="C136" s="360"/>
      <c r="D136" s="82" t="s">
        <v>347</v>
      </c>
      <c r="E136" s="406" t="s">
        <v>31</v>
      </c>
      <c r="F136" s="407" t="s">
        <v>31</v>
      </c>
      <c r="G136" s="407" t="s">
        <v>31</v>
      </c>
      <c r="H136" s="408" t="s">
        <v>31</v>
      </c>
      <c r="I136" s="341" t="str">
        <f aca="true" t="shared" si="19" ref="I136:T136">IF(I77&gt;=I78,"OK","BŁĄD")</f>
        <v>OK</v>
      </c>
      <c r="J136" s="334" t="str">
        <f t="shared" si="19"/>
        <v>OK</v>
      </c>
      <c r="K136" s="334" t="str">
        <f t="shared" si="19"/>
        <v>OK</v>
      </c>
      <c r="L136" s="334" t="str">
        <f t="shared" si="19"/>
        <v>OK</v>
      </c>
      <c r="M136" s="334" t="str">
        <f t="shared" si="19"/>
        <v>OK</v>
      </c>
      <c r="N136" s="334" t="str">
        <f t="shared" si="19"/>
        <v>OK</v>
      </c>
      <c r="O136" s="334" t="str">
        <f t="shared" si="19"/>
        <v>OK</v>
      </c>
      <c r="P136" s="334" t="str">
        <f t="shared" si="19"/>
        <v>OK</v>
      </c>
      <c r="Q136" s="334" t="str">
        <f t="shared" si="19"/>
        <v>OK</v>
      </c>
      <c r="R136" s="334" t="str">
        <f t="shared" si="19"/>
        <v>OK</v>
      </c>
      <c r="S136" s="334" t="str">
        <f t="shared" si="19"/>
        <v>OK</v>
      </c>
      <c r="T136" s="334" t="str">
        <f t="shared" si="19"/>
        <v>OK</v>
      </c>
    </row>
    <row r="137" spans="2:20" ht="14.25" outlineLevel="2">
      <c r="B137" s="359" t="s">
        <v>295</v>
      </c>
      <c r="C137" s="360"/>
      <c r="D137" s="82" t="s">
        <v>346</v>
      </c>
      <c r="E137" s="406" t="s">
        <v>31</v>
      </c>
      <c r="F137" s="407" t="s">
        <v>31</v>
      </c>
      <c r="G137" s="407" t="s">
        <v>31</v>
      </c>
      <c r="H137" s="408" t="s">
        <v>31</v>
      </c>
      <c r="I137" s="341" t="str">
        <f aca="true" t="shared" si="20" ref="I137:T137">IF(I78&gt;=I79,"OK","BŁĄD")</f>
        <v>OK</v>
      </c>
      <c r="J137" s="334" t="str">
        <f t="shared" si="20"/>
        <v>OK</v>
      </c>
      <c r="K137" s="334" t="str">
        <f t="shared" si="20"/>
        <v>OK</v>
      </c>
      <c r="L137" s="334" t="str">
        <f t="shared" si="20"/>
        <v>OK</v>
      </c>
      <c r="M137" s="334" t="str">
        <f t="shared" si="20"/>
        <v>OK</v>
      </c>
      <c r="N137" s="334" t="str">
        <f t="shared" si="20"/>
        <v>OK</v>
      </c>
      <c r="O137" s="334" t="str">
        <f t="shared" si="20"/>
        <v>OK</v>
      </c>
      <c r="P137" s="334" t="str">
        <f t="shared" si="20"/>
        <v>OK</v>
      </c>
      <c r="Q137" s="334" t="str">
        <f t="shared" si="20"/>
        <v>OK</v>
      </c>
      <c r="R137" s="334" t="str">
        <f t="shared" si="20"/>
        <v>OK</v>
      </c>
      <c r="S137" s="334" t="str">
        <f t="shared" si="20"/>
        <v>OK</v>
      </c>
      <c r="T137" s="334" t="str">
        <f t="shared" si="20"/>
        <v>OK</v>
      </c>
    </row>
    <row r="138" spans="2:20" ht="14.25" outlineLevel="2">
      <c r="B138" s="359" t="s">
        <v>298</v>
      </c>
      <c r="C138" s="360"/>
      <c r="D138" s="82" t="s">
        <v>349</v>
      </c>
      <c r="E138" s="406" t="s">
        <v>31</v>
      </c>
      <c r="F138" s="407" t="s">
        <v>31</v>
      </c>
      <c r="G138" s="407" t="s">
        <v>31</v>
      </c>
      <c r="H138" s="408" t="s">
        <v>31</v>
      </c>
      <c r="I138" s="341" t="str">
        <f aca="true" t="shared" si="21" ref="I138:T138">IF(I80&gt;=I81,"OK","BŁĄD")</f>
        <v>OK</v>
      </c>
      <c r="J138" s="334" t="str">
        <f t="shared" si="21"/>
        <v>OK</v>
      </c>
      <c r="K138" s="334" t="str">
        <f t="shared" si="21"/>
        <v>OK</v>
      </c>
      <c r="L138" s="334" t="str">
        <f t="shared" si="21"/>
        <v>OK</v>
      </c>
      <c r="M138" s="334" t="str">
        <f t="shared" si="21"/>
        <v>OK</v>
      </c>
      <c r="N138" s="334" t="str">
        <f t="shared" si="21"/>
        <v>OK</v>
      </c>
      <c r="O138" s="334" t="str">
        <f t="shared" si="21"/>
        <v>OK</v>
      </c>
      <c r="P138" s="334" t="str">
        <f t="shared" si="21"/>
        <v>OK</v>
      </c>
      <c r="Q138" s="334" t="str">
        <f t="shared" si="21"/>
        <v>OK</v>
      </c>
      <c r="R138" s="334" t="str">
        <f t="shared" si="21"/>
        <v>OK</v>
      </c>
      <c r="S138" s="334" t="str">
        <f t="shared" si="21"/>
        <v>OK</v>
      </c>
      <c r="T138" s="334" t="str">
        <f t="shared" si="21"/>
        <v>OK</v>
      </c>
    </row>
    <row r="139" spans="2:20" ht="14.25" outlineLevel="2">
      <c r="B139" s="359" t="s">
        <v>297</v>
      </c>
      <c r="C139" s="360"/>
      <c r="D139" s="82" t="s">
        <v>348</v>
      </c>
      <c r="E139" s="406" t="s">
        <v>31</v>
      </c>
      <c r="F139" s="407" t="s">
        <v>31</v>
      </c>
      <c r="G139" s="407" t="s">
        <v>31</v>
      </c>
      <c r="H139" s="408" t="s">
        <v>31</v>
      </c>
      <c r="I139" s="341" t="str">
        <f aca="true" t="shared" si="22" ref="I139:T139">IF(I81&gt;=I82,"OK","BŁĄD")</f>
        <v>OK</v>
      </c>
      <c r="J139" s="334" t="str">
        <f t="shared" si="22"/>
        <v>OK</v>
      </c>
      <c r="K139" s="334" t="str">
        <f t="shared" si="22"/>
        <v>OK</v>
      </c>
      <c r="L139" s="334" t="str">
        <f t="shared" si="22"/>
        <v>OK</v>
      </c>
      <c r="M139" s="334" t="str">
        <f t="shared" si="22"/>
        <v>OK</v>
      </c>
      <c r="N139" s="334" t="str">
        <f t="shared" si="22"/>
        <v>OK</v>
      </c>
      <c r="O139" s="334" t="str">
        <f t="shared" si="22"/>
        <v>OK</v>
      </c>
      <c r="P139" s="334" t="str">
        <f t="shared" si="22"/>
        <v>OK</v>
      </c>
      <c r="Q139" s="334" t="str">
        <f t="shared" si="22"/>
        <v>OK</v>
      </c>
      <c r="R139" s="334" t="str">
        <f t="shared" si="22"/>
        <v>OK</v>
      </c>
      <c r="S139" s="334" t="str">
        <f t="shared" si="22"/>
        <v>OK</v>
      </c>
      <c r="T139" s="334" t="str">
        <f t="shared" si="22"/>
        <v>OK</v>
      </c>
    </row>
    <row r="140" spans="2:20" ht="14.25" outlineLevel="2">
      <c r="B140" s="359" t="s">
        <v>299</v>
      </c>
      <c r="C140" s="360"/>
      <c r="D140" s="82" t="s">
        <v>350</v>
      </c>
      <c r="E140" s="406" t="s">
        <v>31</v>
      </c>
      <c r="F140" s="407" t="s">
        <v>31</v>
      </c>
      <c r="G140" s="407" t="s">
        <v>31</v>
      </c>
      <c r="H140" s="408" t="s">
        <v>31</v>
      </c>
      <c r="I140" s="341" t="str">
        <f aca="true" t="shared" si="23" ref="I140:T140">IF(I83&gt;=I84,"OK","BŁĄD")</f>
        <v>OK</v>
      </c>
      <c r="J140" s="334" t="str">
        <f t="shared" si="23"/>
        <v>OK</v>
      </c>
      <c r="K140" s="334" t="str">
        <f t="shared" si="23"/>
        <v>OK</v>
      </c>
      <c r="L140" s="334" t="str">
        <f t="shared" si="23"/>
        <v>OK</v>
      </c>
      <c r="M140" s="334" t="str">
        <f t="shared" si="23"/>
        <v>OK</v>
      </c>
      <c r="N140" s="334" t="str">
        <f t="shared" si="23"/>
        <v>OK</v>
      </c>
      <c r="O140" s="334" t="str">
        <f t="shared" si="23"/>
        <v>OK</v>
      </c>
      <c r="P140" s="334" t="str">
        <f t="shared" si="23"/>
        <v>OK</v>
      </c>
      <c r="Q140" s="334" t="str">
        <f t="shared" si="23"/>
        <v>OK</v>
      </c>
      <c r="R140" s="334" t="str">
        <f t="shared" si="23"/>
        <v>OK</v>
      </c>
      <c r="S140" s="334" t="str">
        <f t="shared" si="23"/>
        <v>OK</v>
      </c>
      <c r="T140" s="334" t="str">
        <f t="shared" si="23"/>
        <v>OK</v>
      </c>
    </row>
    <row r="141" spans="2:20" ht="14.25" outlineLevel="2">
      <c r="B141" s="359" t="s">
        <v>300</v>
      </c>
      <c r="C141" s="360"/>
      <c r="D141" s="82" t="s">
        <v>351</v>
      </c>
      <c r="E141" s="406" t="s">
        <v>31</v>
      </c>
      <c r="F141" s="407" t="s">
        <v>31</v>
      </c>
      <c r="G141" s="407" t="s">
        <v>31</v>
      </c>
      <c r="H141" s="408" t="s">
        <v>31</v>
      </c>
      <c r="I141" s="341" t="str">
        <f aca="true" t="shared" si="24" ref="I141:T141">IF(I83&gt;=I85,"OK","BŁĄD")</f>
        <v>OK</v>
      </c>
      <c r="J141" s="334" t="str">
        <f t="shared" si="24"/>
        <v>OK</v>
      </c>
      <c r="K141" s="334" t="str">
        <f t="shared" si="24"/>
        <v>OK</v>
      </c>
      <c r="L141" s="334" t="str">
        <f t="shared" si="24"/>
        <v>OK</v>
      </c>
      <c r="M141" s="334" t="str">
        <f t="shared" si="24"/>
        <v>OK</v>
      </c>
      <c r="N141" s="334" t="str">
        <f t="shared" si="24"/>
        <v>OK</v>
      </c>
      <c r="O141" s="334" t="str">
        <f t="shared" si="24"/>
        <v>OK</v>
      </c>
      <c r="P141" s="334" t="str">
        <f t="shared" si="24"/>
        <v>OK</v>
      </c>
      <c r="Q141" s="334" t="str">
        <f t="shared" si="24"/>
        <v>OK</v>
      </c>
      <c r="R141" s="334" t="str">
        <f t="shared" si="24"/>
        <v>OK</v>
      </c>
      <c r="S141" s="334" t="str">
        <f t="shared" si="24"/>
        <v>OK</v>
      </c>
      <c r="T141" s="334" t="str">
        <f t="shared" si="24"/>
        <v>OK</v>
      </c>
    </row>
    <row r="142" spans="2:20" ht="14.25" outlineLevel="2">
      <c r="B142" s="359" t="s">
        <v>301</v>
      </c>
      <c r="C142" s="360"/>
      <c r="D142" s="82" t="s">
        <v>352</v>
      </c>
      <c r="E142" s="406" t="s">
        <v>31</v>
      </c>
      <c r="F142" s="407" t="s">
        <v>31</v>
      </c>
      <c r="G142" s="407" t="s">
        <v>31</v>
      </c>
      <c r="H142" s="408" t="s">
        <v>31</v>
      </c>
      <c r="I142" s="341" t="str">
        <f aca="true" t="shared" si="25" ref="I142:T142">IF(I86&gt;=I87,"OK","BŁĄD")</f>
        <v>OK</v>
      </c>
      <c r="J142" s="334" t="str">
        <f t="shared" si="25"/>
        <v>OK</v>
      </c>
      <c r="K142" s="334" t="str">
        <f t="shared" si="25"/>
        <v>OK</v>
      </c>
      <c r="L142" s="334" t="str">
        <f t="shared" si="25"/>
        <v>OK</v>
      </c>
      <c r="M142" s="334" t="str">
        <f t="shared" si="25"/>
        <v>OK</v>
      </c>
      <c r="N142" s="334" t="str">
        <f t="shared" si="25"/>
        <v>OK</v>
      </c>
      <c r="O142" s="334" t="str">
        <f t="shared" si="25"/>
        <v>OK</v>
      </c>
      <c r="P142" s="334" t="str">
        <f t="shared" si="25"/>
        <v>OK</v>
      </c>
      <c r="Q142" s="334" t="str">
        <f t="shared" si="25"/>
        <v>OK</v>
      </c>
      <c r="R142" s="334" t="str">
        <f t="shared" si="25"/>
        <v>OK</v>
      </c>
      <c r="S142" s="334" t="str">
        <f t="shared" si="25"/>
        <v>OK</v>
      </c>
      <c r="T142" s="334" t="str">
        <f t="shared" si="25"/>
        <v>OK</v>
      </c>
    </row>
    <row r="143" spans="2:20" ht="14.25" outlineLevel="2">
      <c r="B143" s="359" t="s">
        <v>302</v>
      </c>
      <c r="C143" s="360"/>
      <c r="D143" s="82" t="s">
        <v>353</v>
      </c>
      <c r="E143" s="406" t="s">
        <v>31</v>
      </c>
      <c r="F143" s="407" t="s">
        <v>31</v>
      </c>
      <c r="G143" s="407" t="s">
        <v>31</v>
      </c>
      <c r="H143" s="408" t="s">
        <v>31</v>
      </c>
      <c r="I143" s="341" t="str">
        <f aca="true" t="shared" si="26" ref="I143:T143">IF(I86&gt;=I88,"OK","BŁĄD")</f>
        <v>OK</v>
      </c>
      <c r="J143" s="334" t="str">
        <f t="shared" si="26"/>
        <v>OK</v>
      </c>
      <c r="K143" s="334" t="str">
        <f t="shared" si="26"/>
        <v>OK</v>
      </c>
      <c r="L143" s="334" t="str">
        <f t="shared" si="26"/>
        <v>OK</v>
      </c>
      <c r="M143" s="334" t="str">
        <f t="shared" si="26"/>
        <v>OK</v>
      </c>
      <c r="N143" s="334" t="str">
        <f t="shared" si="26"/>
        <v>OK</v>
      </c>
      <c r="O143" s="334" t="str">
        <f t="shared" si="26"/>
        <v>OK</v>
      </c>
      <c r="P143" s="334" t="str">
        <f t="shared" si="26"/>
        <v>OK</v>
      </c>
      <c r="Q143" s="334" t="str">
        <f t="shared" si="26"/>
        <v>OK</v>
      </c>
      <c r="R143" s="334" t="str">
        <f t="shared" si="26"/>
        <v>OK</v>
      </c>
      <c r="S143" s="334" t="str">
        <f t="shared" si="26"/>
        <v>OK</v>
      </c>
      <c r="T143" s="334" t="str">
        <f t="shared" si="26"/>
        <v>OK</v>
      </c>
    </row>
    <row r="144" spans="2:20" ht="14.25" outlineLevel="2">
      <c r="B144" s="359" t="s">
        <v>303</v>
      </c>
      <c r="C144" s="360"/>
      <c r="D144" s="82" t="s">
        <v>354</v>
      </c>
      <c r="E144" s="406" t="s">
        <v>31</v>
      </c>
      <c r="F144" s="407" t="s">
        <v>31</v>
      </c>
      <c r="G144" s="407" t="s">
        <v>31</v>
      </c>
      <c r="H144" s="408" t="s">
        <v>31</v>
      </c>
      <c r="I144" s="341" t="str">
        <f aca="true" t="shared" si="27" ref="I144:T144">IF(I90&gt;=I92,"OK","BŁĄD")</f>
        <v>OK</v>
      </c>
      <c r="J144" s="334" t="str">
        <f t="shared" si="27"/>
        <v>OK</v>
      </c>
      <c r="K144" s="334" t="str">
        <f t="shared" si="27"/>
        <v>OK</v>
      </c>
      <c r="L144" s="334" t="str">
        <f t="shared" si="27"/>
        <v>OK</v>
      </c>
      <c r="M144" s="334" t="str">
        <f t="shared" si="27"/>
        <v>OK</v>
      </c>
      <c r="N144" s="334" t="str">
        <f t="shared" si="27"/>
        <v>OK</v>
      </c>
      <c r="O144" s="334" t="str">
        <f t="shared" si="27"/>
        <v>OK</v>
      </c>
      <c r="P144" s="334" t="str">
        <f t="shared" si="27"/>
        <v>OK</v>
      </c>
      <c r="Q144" s="334" t="str">
        <f t="shared" si="27"/>
        <v>OK</v>
      </c>
      <c r="R144" s="334" t="str">
        <f t="shared" si="27"/>
        <v>OK</v>
      </c>
      <c r="S144" s="334" t="str">
        <f t="shared" si="27"/>
        <v>OK</v>
      </c>
      <c r="T144" s="334" t="str">
        <f t="shared" si="27"/>
        <v>OK</v>
      </c>
    </row>
    <row r="145" spans="2:20" ht="14.25" outlineLevel="2">
      <c r="B145" s="359" t="s">
        <v>304</v>
      </c>
      <c r="C145" s="360"/>
      <c r="D145" s="82" t="s">
        <v>355</v>
      </c>
      <c r="E145" s="406" t="s">
        <v>31</v>
      </c>
      <c r="F145" s="407" t="s">
        <v>31</v>
      </c>
      <c r="G145" s="407" t="s">
        <v>31</v>
      </c>
      <c r="H145" s="408" t="s">
        <v>31</v>
      </c>
      <c r="I145" s="341" t="str">
        <f aca="true" t="shared" si="28" ref="I145:T145">IF(I93&gt;=I25,"OK","BŁĄD")</f>
        <v>OK</v>
      </c>
      <c r="J145" s="334" t="str">
        <f t="shared" si="28"/>
        <v>OK</v>
      </c>
      <c r="K145" s="334" t="str">
        <f t="shared" si="28"/>
        <v>OK</v>
      </c>
      <c r="L145" s="334" t="str">
        <f t="shared" si="28"/>
        <v>OK</v>
      </c>
      <c r="M145" s="334" t="str">
        <f t="shared" si="28"/>
        <v>OK</v>
      </c>
      <c r="N145" s="334" t="str">
        <f t="shared" si="28"/>
        <v>OK</v>
      </c>
      <c r="O145" s="334" t="str">
        <f t="shared" si="28"/>
        <v>OK</v>
      </c>
      <c r="P145" s="334" t="str">
        <f t="shared" si="28"/>
        <v>OK</v>
      </c>
      <c r="Q145" s="334" t="str">
        <f t="shared" si="28"/>
        <v>OK</v>
      </c>
      <c r="R145" s="334" t="str">
        <f t="shared" si="28"/>
        <v>OK</v>
      </c>
      <c r="S145" s="334" t="str">
        <f t="shared" si="28"/>
        <v>OK</v>
      </c>
      <c r="T145" s="334" t="str">
        <f t="shared" si="28"/>
        <v>OK</v>
      </c>
    </row>
    <row r="146" spans="2:20" ht="14.25" outlineLevel="2">
      <c r="B146" s="359" t="s">
        <v>305</v>
      </c>
      <c r="C146" s="360"/>
      <c r="D146" s="82" t="s">
        <v>356</v>
      </c>
      <c r="E146" s="406" t="s">
        <v>31</v>
      </c>
      <c r="F146" s="407" t="s">
        <v>31</v>
      </c>
      <c r="G146" s="407" t="s">
        <v>31</v>
      </c>
      <c r="H146" s="408" t="s">
        <v>31</v>
      </c>
      <c r="I146" s="341" t="str">
        <f aca="true" t="shared" si="29" ref="I146:T146">IF(I100&gt;=(I101+I102+I103),"OK","BŁĄD")</f>
        <v>OK</v>
      </c>
      <c r="J146" s="334" t="str">
        <f t="shared" si="29"/>
        <v>OK</v>
      </c>
      <c r="K146" s="334" t="str">
        <f t="shared" si="29"/>
        <v>OK</v>
      </c>
      <c r="L146" s="334" t="str">
        <f t="shared" si="29"/>
        <v>OK</v>
      </c>
      <c r="M146" s="334" t="str">
        <f t="shared" si="29"/>
        <v>OK</v>
      </c>
      <c r="N146" s="334" t="str">
        <f t="shared" si="29"/>
        <v>OK</v>
      </c>
      <c r="O146" s="334" t="str">
        <f t="shared" si="29"/>
        <v>OK</v>
      </c>
      <c r="P146" s="334" t="str">
        <f t="shared" si="29"/>
        <v>OK</v>
      </c>
      <c r="Q146" s="334" t="str">
        <f t="shared" si="29"/>
        <v>OK</v>
      </c>
      <c r="R146" s="334" t="str">
        <f t="shared" si="29"/>
        <v>OK</v>
      </c>
      <c r="S146" s="334" t="str">
        <f t="shared" si="29"/>
        <v>OK</v>
      </c>
      <c r="T146" s="334" t="str">
        <f t="shared" si="29"/>
        <v>OK</v>
      </c>
    </row>
    <row r="147" spans="2:20" ht="14.25" outlineLevel="2">
      <c r="B147" s="359" t="s">
        <v>307</v>
      </c>
      <c r="C147" s="360"/>
      <c r="D147" s="82" t="s">
        <v>358</v>
      </c>
      <c r="E147" s="406" t="s">
        <v>31</v>
      </c>
      <c r="F147" s="407" t="s">
        <v>31</v>
      </c>
      <c r="G147" s="407" t="s">
        <v>31</v>
      </c>
      <c r="H147" s="408" t="s">
        <v>31</v>
      </c>
      <c r="I147" s="341" t="str">
        <f aca="true" t="shared" si="30" ref="I147:T147">IF(I23&gt;=I24,"OK","BŁĄD")</f>
        <v>OK</v>
      </c>
      <c r="J147" s="334" t="str">
        <f t="shared" si="30"/>
        <v>OK</v>
      </c>
      <c r="K147" s="334" t="str">
        <f t="shared" si="30"/>
        <v>OK</v>
      </c>
      <c r="L147" s="334" t="str">
        <f t="shared" si="30"/>
        <v>OK</v>
      </c>
      <c r="M147" s="334" t="str">
        <f t="shared" si="30"/>
        <v>OK</v>
      </c>
      <c r="N147" s="334" t="str">
        <f t="shared" si="30"/>
        <v>OK</v>
      </c>
      <c r="O147" s="334" t="str">
        <f t="shared" si="30"/>
        <v>OK</v>
      </c>
      <c r="P147" s="334" t="str">
        <f t="shared" si="30"/>
        <v>OK</v>
      </c>
      <c r="Q147" s="334" t="str">
        <f t="shared" si="30"/>
        <v>OK</v>
      </c>
      <c r="R147" s="334" t="str">
        <f t="shared" si="30"/>
        <v>OK</v>
      </c>
      <c r="S147" s="334" t="str">
        <f t="shared" si="30"/>
        <v>OK</v>
      </c>
      <c r="T147" s="334" t="str">
        <f t="shared" si="30"/>
        <v>OK</v>
      </c>
    </row>
    <row r="148" spans="2:20" ht="14.25" outlineLevel="2">
      <c r="B148" s="359" t="s">
        <v>306</v>
      </c>
      <c r="C148" s="360"/>
      <c r="D148" s="82" t="s">
        <v>357</v>
      </c>
      <c r="E148" s="406" t="s">
        <v>31</v>
      </c>
      <c r="F148" s="407" t="s">
        <v>31</v>
      </c>
      <c r="G148" s="407" t="s">
        <v>31</v>
      </c>
      <c r="H148" s="408" t="s">
        <v>31</v>
      </c>
      <c r="I148" s="341" t="str">
        <f aca="true" t="shared" si="31" ref="I148:T148">IF(I23&gt;=I103,"OK","BŁĄD")</f>
        <v>OK</v>
      </c>
      <c r="J148" s="334" t="str">
        <f t="shared" si="31"/>
        <v>OK</v>
      </c>
      <c r="K148" s="334" t="str">
        <f t="shared" si="31"/>
        <v>OK</v>
      </c>
      <c r="L148" s="334" t="str">
        <f t="shared" si="31"/>
        <v>OK</v>
      </c>
      <c r="M148" s="334" t="str">
        <f t="shared" si="31"/>
        <v>OK</v>
      </c>
      <c r="N148" s="334" t="str">
        <f t="shared" si="31"/>
        <v>OK</v>
      </c>
      <c r="O148" s="334" t="str">
        <f t="shared" si="31"/>
        <v>OK</v>
      </c>
      <c r="P148" s="334" t="str">
        <f t="shared" si="31"/>
        <v>OK</v>
      </c>
      <c r="Q148" s="334" t="str">
        <f t="shared" si="31"/>
        <v>OK</v>
      </c>
      <c r="R148" s="334" t="str">
        <f t="shared" si="31"/>
        <v>OK</v>
      </c>
      <c r="S148" s="334" t="str">
        <f t="shared" si="31"/>
        <v>OK</v>
      </c>
      <c r="T148" s="334" t="str">
        <f t="shared" si="31"/>
        <v>OK</v>
      </c>
    </row>
    <row r="149" spans="2:20" ht="14.25" outlineLevel="2">
      <c r="B149" s="359" t="s">
        <v>308</v>
      </c>
      <c r="C149" s="360"/>
      <c r="D149" s="82" t="s">
        <v>359</v>
      </c>
      <c r="E149" s="406" t="s">
        <v>31</v>
      </c>
      <c r="F149" s="407" t="s">
        <v>31</v>
      </c>
      <c r="G149" s="407" t="s">
        <v>31</v>
      </c>
      <c r="H149" s="408" t="s">
        <v>31</v>
      </c>
      <c r="I149" s="341" t="str">
        <f aca="true" t="shared" si="32" ref="I149:T149">IF(I26&gt;=I27,"OK","BŁĄD")</f>
        <v>OK</v>
      </c>
      <c r="J149" s="334" t="str">
        <f t="shared" si="32"/>
        <v>OK</v>
      </c>
      <c r="K149" s="334" t="str">
        <f t="shared" si="32"/>
        <v>OK</v>
      </c>
      <c r="L149" s="334" t="str">
        <f t="shared" si="32"/>
        <v>OK</v>
      </c>
      <c r="M149" s="334" t="str">
        <f t="shared" si="32"/>
        <v>OK</v>
      </c>
      <c r="N149" s="334" t="str">
        <f t="shared" si="32"/>
        <v>OK</v>
      </c>
      <c r="O149" s="334" t="str">
        <f t="shared" si="32"/>
        <v>OK</v>
      </c>
      <c r="P149" s="334" t="str">
        <f t="shared" si="32"/>
        <v>OK</v>
      </c>
      <c r="Q149" s="334" t="str">
        <f t="shared" si="32"/>
        <v>OK</v>
      </c>
      <c r="R149" s="334" t="str">
        <f t="shared" si="32"/>
        <v>OK</v>
      </c>
      <c r="S149" s="334" t="str">
        <f t="shared" si="32"/>
        <v>OK</v>
      </c>
      <c r="T149" s="334" t="str">
        <f t="shared" si="32"/>
        <v>OK</v>
      </c>
    </row>
    <row r="150" spans="2:20" ht="14.25" outlineLevel="2">
      <c r="B150" s="359" t="s">
        <v>309</v>
      </c>
      <c r="C150" s="360"/>
      <c r="D150" s="82" t="s">
        <v>360</v>
      </c>
      <c r="E150" s="406" t="s">
        <v>31</v>
      </c>
      <c r="F150" s="407" t="s">
        <v>31</v>
      </c>
      <c r="G150" s="407" t="s">
        <v>31</v>
      </c>
      <c r="H150" s="408" t="s">
        <v>31</v>
      </c>
      <c r="I150" s="341" t="str">
        <f aca="true" t="shared" si="33" ref="I150:T150">IF(I22&gt;=(I23+I25+I26),"OK","BŁĄD")</f>
        <v>OK</v>
      </c>
      <c r="J150" s="334" t="str">
        <f t="shared" si="33"/>
        <v>OK</v>
      </c>
      <c r="K150" s="334" t="str">
        <f t="shared" si="33"/>
        <v>OK</v>
      </c>
      <c r="L150" s="334" t="str">
        <f t="shared" si="33"/>
        <v>OK</v>
      </c>
      <c r="M150" s="334" t="str">
        <f t="shared" si="33"/>
        <v>OK</v>
      </c>
      <c r="N150" s="334" t="str">
        <f t="shared" si="33"/>
        <v>OK</v>
      </c>
      <c r="O150" s="334" t="str">
        <f t="shared" si="33"/>
        <v>OK</v>
      </c>
      <c r="P150" s="334" t="str">
        <f t="shared" si="33"/>
        <v>OK</v>
      </c>
      <c r="Q150" s="334" t="str">
        <f t="shared" si="33"/>
        <v>OK</v>
      </c>
      <c r="R150" s="334" t="str">
        <f t="shared" si="33"/>
        <v>OK</v>
      </c>
      <c r="S150" s="334" t="str">
        <f t="shared" si="33"/>
        <v>OK</v>
      </c>
      <c r="T150" s="334" t="str">
        <f t="shared" si="33"/>
        <v>OK</v>
      </c>
    </row>
    <row r="151" spans="2:20" ht="14.25" outlineLevel="2">
      <c r="B151" s="359" t="s">
        <v>310</v>
      </c>
      <c r="C151" s="360"/>
      <c r="D151" s="82" t="s">
        <v>361</v>
      </c>
      <c r="E151" s="406" t="s">
        <v>31</v>
      </c>
      <c r="F151" s="407" t="s">
        <v>31</v>
      </c>
      <c r="G151" s="407" t="s">
        <v>31</v>
      </c>
      <c r="H151" s="408" t="s">
        <v>31</v>
      </c>
      <c r="I151" s="341" t="str">
        <f aca="true" t="shared" si="34" ref="I151:T151">IF(I22&gt;=I68,"OK","BŁĄD")</f>
        <v>OK</v>
      </c>
      <c r="J151" s="334" t="str">
        <f t="shared" si="34"/>
        <v>OK</v>
      </c>
      <c r="K151" s="334" t="str">
        <f t="shared" si="34"/>
        <v>OK</v>
      </c>
      <c r="L151" s="334" t="str">
        <f t="shared" si="34"/>
        <v>OK</v>
      </c>
      <c r="M151" s="334" t="str">
        <f t="shared" si="34"/>
        <v>OK</v>
      </c>
      <c r="N151" s="334" t="str">
        <f t="shared" si="34"/>
        <v>OK</v>
      </c>
      <c r="O151" s="334" t="str">
        <f t="shared" si="34"/>
        <v>OK</v>
      </c>
      <c r="P151" s="334" t="str">
        <f t="shared" si="34"/>
        <v>OK</v>
      </c>
      <c r="Q151" s="334" t="str">
        <f t="shared" si="34"/>
        <v>OK</v>
      </c>
      <c r="R151" s="334" t="str">
        <f t="shared" si="34"/>
        <v>OK</v>
      </c>
      <c r="S151" s="334" t="str">
        <f t="shared" si="34"/>
        <v>OK</v>
      </c>
      <c r="T151" s="334" t="str">
        <f t="shared" si="34"/>
        <v>OK</v>
      </c>
    </row>
    <row r="152" spans="2:20" ht="14.25" outlineLevel="2">
      <c r="B152" s="359" t="s">
        <v>311</v>
      </c>
      <c r="C152" s="360"/>
      <c r="D152" s="82" t="s">
        <v>362</v>
      </c>
      <c r="E152" s="406" t="s">
        <v>31</v>
      </c>
      <c r="F152" s="407" t="s">
        <v>31</v>
      </c>
      <c r="G152" s="407" t="s">
        <v>31</v>
      </c>
      <c r="H152" s="408" t="s">
        <v>31</v>
      </c>
      <c r="I152" s="341" t="str">
        <f aca="true" t="shared" si="35" ref="I152:T152">IF(I22&gt;=I71,"OK","BŁĄD")</f>
        <v>OK</v>
      </c>
      <c r="J152" s="334" t="str">
        <f t="shared" si="35"/>
        <v>OK</v>
      </c>
      <c r="K152" s="334" t="str">
        <f t="shared" si="35"/>
        <v>OK</v>
      </c>
      <c r="L152" s="334" t="str">
        <f t="shared" si="35"/>
        <v>OK</v>
      </c>
      <c r="M152" s="334" t="str">
        <f t="shared" si="35"/>
        <v>OK</v>
      </c>
      <c r="N152" s="334" t="str">
        <f t="shared" si="35"/>
        <v>OK</v>
      </c>
      <c r="O152" s="334" t="str">
        <f t="shared" si="35"/>
        <v>OK</v>
      </c>
      <c r="P152" s="334" t="str">
        <f t="shared" si="35"/>
        <v>OK</v>
      </c>
      <c r="Q152" s="334" t="str">
        <f t="shared" si="35"/>
        <v>OK</v>
      </c>
      <c r="R152" s="334" t="str">
        <f t="shared" si="35"/>
        <v>OK</v>
      </c>
      <c r="S152" s="334" t="str">
        <f t="shared" si="35"/>
        <v>OK</v>
      </c>
      <c r="T152" s="334" t="str">
        <f t="shared" si="35"/>
        <v>OK</v>
      </c>
    </row>
    <row r="153" spans="2:20" ht="14.25" outlineLevel="2">
      <c r="B153" s="359" t="s">
        <v>312</v>
      </c>
      <c r="C153" s="360"/>
      <c r="D153" s="82" t="s">
        <v>363</v>
      </c>
      <c r="E153" s="406" t="s">
        <v>31</v>
      </c>
      <c r="F153" s="407" t="s">
        <v>31</v>
      </c>
      <c r="G153" s="407" t="s">
        <v>31</v>
      </c>
      <c r="H153" s="408" t="s">
        <v>31</v>
      </c>
      <c r="I153" s="341" t="str">
        <f aca="true" t="shared" si="36" ref="I153:T153">IF(I22&gt;=I83,"OK","BŁĄD")</f>
        <v>OK</v>
      </c>
      <c r="J153" s="334" t="str">
        <f t="shared" si="36"/>
        <v>OK</v>
      </c>
      <c r="K153" s="334" t="str">
        <f t="shared" si="36"/>
        <v>OK</v>
      </c>
      <c r="L153" s="334" t="str">
        <f t="shared" si="36"/>
        <v>OK</v>
      </c>
      <c r="M153" s="334" t="str">
        <f t="shared" si="36"/>
        <v>OK</v>
      </c>
      <c r="N153" s="334" t="str">
        <f t="shared" si="36"/>
        <v>OK</v>
      </c>
      <c r="O153" s="334" t="str">
        <f t="shared" si="36"/>
        <v>OK</v>
      </c>
      <c r="P153" s="334" t="str">
        <f t="shared" si="36"/>
        <v>OK</v>
      </c>
      <c r="Q153" s="334" t="str">
        <f t="shared" si="36"/>
        <v>OK</v>
      </c>
      <c r="R153" s="334" t="str">
        <f t="shared" si="36"/>
        <v>OK</v>
      </c>
      <c r="S153" s="334" t="str">
        <f t="shared" si="36"/>
        <v>OK</v>
      </c>
      <c r="T153" s="334" t="str">
        <f t="shared" si="36"/>
        <v>OK</v>
      </c>
    </row>
    <row r="154" spans="2:20" ht="14.25" outlineLevel="2">
      <c r="B154" s="359" t="s">
        <v>313</v>
      </c>
      <c r="C154" s="360"/>
      <c r="D154" s="82" t="s">
        <v>364</v>
      </c>
      <c r="E154" s="406" t="s">
        <v>31</v>
      </c>
      <c r="F154" s="407" t="s">
        <v>31</v>
      </c>
      <c r="G154" s="407" t="s">
        <v>31</v>
      </c>
      <c r="H154" s="408" t="s">
        <v>31</v>
      </c>
      <c r="I154" s="341" t="str">
        <f aca="true" t="shared" si="37" ref="I154:T154">IF(I22&gt;=I96,"OK","BŁĄD")</f>
        <v>OK</v>
      </c>
      <c r="J154" s="334" t="str">
        <f t="shared" si="37"/>
        <v>OK</v>
      </c>
      <c r="K154" s="334" t="str">
        <f t="shared" si="37"/>
        <v>OK</v>
      </c>
      <c r="L154" s="334" t="str">
        <f t="shared" si="37"/>
        <v>OK</v>
      </c>
      <c r="M154" s="334" t="str">
        <f t="shared" si="37"/>
        <v>OK</v>
      </c>
      <c r="N154" s="334" t="str">
        <f t="shared" si="37"/>
        <v>OK</v>
      </c>
      <c r="O154" s="334" t="str">
        <f t="shared" si="37"/>
        <v>OK</v>
      </c>
      <c r="P154" s="334" t="str">
        <f t="shared" si="37"/>
        <v>OK</v>
      </c>
      <c r="Q154" s="334" t="str">
        <f t="shared" si="37"/>
        <v>OK</v>
      </c>
      <c r="R154" s="334" t="str">
        <f t="shared" si="37"/>
        <v>OK</v>
      </c>
      <c r="S154" s="334" t="str">
        <f t="shared" si="37"/>
        <v>OK</v>
      </c>
      <c r="T154" s="334" t="str">
        <f t="shared" si="37"/>
        <v>OK</v>
      </c>
    </row>
    <row r="155" spans="2:20" ht="14.25" outlineLevel="2">
      <c r="B155" s="359" t="s">
        <v>314</v>
      </c>
      <c r="C155" s="360"/>
      <c r="D155" s="82" t="s">
        <v>365</v>
      </c>
      <c r="E155" s="406" t="s">
        <v>31</v>
      </c>
      <c r="F155" s="407" t="s">
        <v>31</v>
      </c>
      <c r="G155" s="407" t="s">
        <v>31</v>
      </c>
      <c r="H155" s="408" t="s">
        <v>31</v>
      </c>
      <c r="I155" s="341" t="str">
        <f aca="true" t="shared" si="38" ref="I155:T155">IF(I28&gt;=I72,"OK","BŁĄD")</f>
        <v>OK</v>
      </c>
      <c r="J155" s="334" t="str">
        <f t="shared" si="38"/>
        <v>OK</v>
      </c>
      <c r="K155" s="334" t="str">
        <f t="shared" si="38"/>
        <v>OK</v>
      </c>
      <c r="L155" s="334" t="str">
        <f t="shared" si="38"/>
        <v>OK</v>
      </c>
      <c r="M155" s="334" t="str">
        <f t="shared" si="38"/>
        <v>OK</v>
      </c>
      <c r="N155" s="334" t="str">
        <f t="shared" si="38"/>
        <v>OK</v>
      </c>
      <c r="O155" s="334" t="str">
        <f t="shared" si="38"/>
        <v>OK</v>
      </c>
      <c r="P155" s="334" t="str">
        <f t="shared" si="38"/>
        <v>OK</v>
      </c>
      <c r="Q155" s="334" t="str">
        <f t="shared" si="38"/>
        <v>OK</v>
      </c>
      <c r="R155" s="334" t="str">
        <f t="shared" si="38"/>
        <v>OK</v>
      </c>
      <c r="S155" s="334" t="str">
        <f t="shared" si="38"/>
        <v>OK</v>
      </c>
      <c r="T155" s="334" t="str">
        <f t="shared" si="38"/>
        <v>OK</v>
      </c>
    </row>
    <row r="156" spans="2:20" ht="14.25" outlineLevel="2">
      <c r="B156" s="359" t="s">
        <v>315</v>
      </c>
      <c r="C156" s="360"/>
      <c r="D156" s="82" t="s">
        <v>366</v>
      </c>
      <c r="E156" s="406" t="s">
        <v>31</v>
      </c>
      <c r="F156" s="407" t="s">
        <v>31</v>
      </c>
      <c r="G156" s="407" t="s">
        <v>31</v>
      </c>
      <c r="H156" s="408" t="s">
        <v>31</v>
      </c>
      <c r="I156" s="341" t="str">
        <f aca="true" t="shared" si="39" ref="I156:T156">IF(I28&gt;=I73+I74,"OK","BŁĄD")</f>
        <v>OK</v>
      </c>
      <c r="J156" s="334" t="str">
        <f t="shared" si="39"/>
        <v>OK</v>
      </c>
      <c r="K156" s="334" t="str">
        <f t="shared" si="39"/>
        <v>OK</v>
      </c>
      <c r="L156" s="334" t="str">
        <f t="shared" si="39"/>
        <v>OK</v>
      </c>
      <c r="M156" s="334" t="str">
        <f t="shared" si="39"/>
        <v>OK</v>
      </c>
      <c r="N156" s="334" t="str">
        <f t="shared" si="39"/>
        <v>OK</v>
      </c>
      <c r="O156" s="334" t="str">
        <f t="shared" si="39"/>
        <v>OK</v>
      </c>
      <c r="P156" s="334" t="str">
        <f t="shared" si="39"/>
        <v>OK</v>
      </c>
      <c r="Q156" s="334" t="str">
        <f t="shared" si="39"/>
        <v>OK</v>
      </c>
      <c r="R156" s="334" t="str">
        <f t="shared" si="39"/>
        <v>OK</v>
      </c>
      <c r="S156" s="334" t="str">
        <f t="shared" si="39"/>
        <v>OK</v>
      </c>
      <c r="T156" s="334" t="str">
        <f t="shared" si="39"/>
        <v>OK</v>
      </c>
    </row>
    <row r="157" spans="2:20" ht="14.25" outlineLevel="2">
      <c r="B157" s="359" t="s">
        <v>316</v>
      </c>
      <c r="C157" s="360"/>
      <c r="D157" s="82" t="s">
        <v>367</v>
      </c>
      <c r="E157" s="406" t="s">
        <v>31</v>
      </c>
      <c r="F157" s="407" t="s">
        <v>31</v>
      </c>
      <c r="G157" s="407" t="s">
        <v>31</v>
      </c>
      <c r="H157" s="408" t="s">
        <v>31</v>
      </c>
      <c r="I157" s="341" t="str">
        <f aca="true" t="shared" si="40" ref="I157:T157">IF(I28&gt;=I75,"OK","BŁĄD")</f>
        <v>OK</v>
      </c>
      <c r="J157" s="334" t="str">
        <f t="shared" si="40"/>
        <v>OK</v>
      </c>
      <c r="K157" s="334" t="str">
        <f t="shared" si="40"/>
        <v>OK</v>
      </c>
      <c r="L157" s="334" t="str">
        <f t="shared" si="40"/>
        <v>OK</v>
      </c>
      <c r="M157" s="334" t="str">
        <f t="shared" si="40"/>
        <v>OK</v>
      </c>
      <c r="N157" s="334" t="str">
        <f t="shared" si="40"/>
        <v>OK</v>
      </c>
      <c r="O157" s="334" t="str">
        <f t="shared" si="40"/>
        <v>OK</v>
      </c>
      <c r="P157" s="334" t="str">
        <f t="shared" si="40"/>
        <v>OK</v>
      </c>
      <c r="Q157" s="334" t="str">
        <f t="shared" si="40"/>
        <v>OK</v>
      </c>
      <c r="R157" s="334" t="str">
        <f t="shared" si="40"/>
        <v>OK</v>
      </c>
      <c r="S157" s="334" t="str">
        <f t="shared" si="40"/>
        <v>OK</v>
      </c>
      <c r="T157" s="334" t="str">
        <f t="shared" si="40"/>
        <v>OK</v>
      </c>
    </row>
    <row r="158" spans="2:20" ht="14.25" outlineLevel="2">
      <c r="B158" s="359" t="s">
        <v>317</v>
      </c>
      <c r="C158" s="360"/>
      <c r="D158" s="82" t="s">
        <v>368</v>
      </c>
      <c r="E158" s="406" t="s">
        <v>31</v>
      </c>
      <c r="F158" s="407" t="s">
        <v>31</v>
      </c>
      <c r="G158" s="407" t="s">
        <v>31</v>
      </c>
      <c r="H158" s="408" t="s">
        <v>31</v>
      </c>
      <c r="I158" s="341" t="str">
        <f aca="true" t="shared" si="41" ref="I158:T158">IF(I28&gt;=I86,"OK","BŁĄD")</f>
        <v>OK</v>
      </c>
      <c r="J158" s="334" t="str">
        <f t="shared" si="41"/>
        <v>OK</v>
      </c>
      <c r="K158" s="334" t="str">
        <f t="shared" si="41"/>
        <v>OK</v>
      </c>
      <c r="L158" s="334" t="str">
        <f t="shared" si="41"/>
        <v>OK</v>
      </c>
      <c r="M158" s="334" t="str">
        <f t="shared" si="41"/>
        <v>OK</v>
      </c>
      <c r="N158" s="334" t="str">
        <f t="shared" si="41"/>
        <v>OK</v>
      </c>
      <c r="O158" s="334" t="str">
        <f t="shared" si="41"/>
        <v>OK</v>
      </c>
      <c r="P158" s="334" t="str">
        <f t="shared" si="41"/>
        <v>OK</v>
      </c>
      <c r="Q158" s="334" t="str">
        <f t="shared" si="41"/>
        <v>OK</v>
      </c>
      <c r="R158" s="334" t="str">
        <f t="shared" si="41"/>
        <v>OK</v>
      </c>
      <c r="S158" s="334" t="str">
        <f t="shared" si="41"/>
        <v>OK</v>
      </c>
      <c r="T158" s="334" t="str">
        <f t="shared" si="41"/>
        <v>OK</v>
      </c>
    </row>
    <row r="159" spans="2:20" ht="14.25" outlineLevel="2">
      <c r="B159" s="359" t="s">
        <v>318</v>
      </c>
      <c r="C159" s="360"/>
      <c r="D159" s="82" t="s">
        <v>369</v>
      </c>
      <c r="E159" s="406" t="s">
        <v>31</v>
      </c>
      <c r="F159" s="407" t="s">
        <v>31</v>
      </c>
      <c r="G159" s="407" t="s">
        <v>31</v>
      </c>
      <c r="H159" s="408" t="s">
        <v>31</v>
      </c>
      <c r="I159" s="341" t="str">
        <f aca="true" t="shared" si="42" ref="I159:T159">IF(I31&gt;=I32,"OK","BŁĄD")</f>
        <v>OK</v>
      </c>
      <c r="J159" s="334" t="str">
        <f t="shared" si="42"/>
        <v>OK</v>
      </c>
      <c r="K159" s="334" t="str">
        <f t="shared" si="42"/>
        <v>OK</v>
      </c>
      <c r="L159" s="334" t="str">
        <f t="shared" si="42"/>
        <v>OK</v>
      </c>
      <c r="M159" s="334" t="str">
        <f t="shared" si="42"/>
        <v>OK</v>
      </c>
      <c r="N159" s="334" t="str">
        <f t="shared" si="42"/>
        <v>OK</v>
      </c>
      <c r="O159" s="334" t="str">
        <f t="shared" si="42"/>
        <v>OK</v>
      </c>
      <c r="P159" s="334" t="str">
        <f t="shared" si="42"/>
        <v>OK</v>
      </c>
      <c r="Q159" s="334" t="str">
        <f t="shared" si="42"/>
        <v>OK</v>
      </c>
      <c r="R159" s="334" t="str">
        <f t="shared" si="42"/>
        <v>OK</v>
      </c>
      <c r="S159" s="334" t="str">
        <f t="shared" si="42"/>
        <v>OK</v>
      </c>
      <c r="T159" s="334" t="str">
        <f t="shared" si="42"/>
        <v>OK</v>
      </c>
    </row>
    <row r="160" spans="2:20" ht="14.25" outlineLevel="2">
      <c r="B160" s="359" t="s">
        <v>319</v>
      </c>
      <c r="C160" s="360"/>
      <c r="D160" s="82" t="s">
        <v>370</v>
      </c>
      <c r="E160" s="406" t="s">
        <v>31</v>
      </c>
      <c r="F160" s="407" t="s">
        <v>31</v>
      </c>
      <c r="G160" s="407" t="s">
        <v>31</v>
      </c>
      <c r="H160" s="408" t="s">
        <v>31</v>
      </c>
      <c r="I160" s="341" t="str">
        <f aca="true" t="shared" si="43" ref="I160:T160">IF(I33&gt;=I34,"OK","BŁĄD")</f>
        <v>OK</v>
      </c>
      <c r="J160" s="334" t="str">
        <f t="shared" si="43"/>
        <v>OK</v>
      </c>
      <c r="K160" s="334" t="str">
        <f t="shared" si="43"/>
        <v>OK</v>
      </c>
      <c r="L160" s="334" t="str">
        <f t="shared" si="43"/>
        <v>OK</v>
      </c>
      <c r="M160" s="334" t="str">
        <f t="shared" si="43"/>
        <v>OK</v>
      </c>
      <c r="N160" s="334" t="str">
        <f t="shared" si="43"/>
        <v>OK</v>
      </c>
      <c r="O160" s="334" t="str">
        <f t="shared" si="43"/>
        <v>OK</v>
      </c>
      <c r="P160" s="334" t="str">
        <f t="shared" si="43"/>
        <v>OK</v>
      </c>
      <c r="Q160" s="334" t="str">
        <f t="shared" si="43"/>
        <v>OK</v>
      </c>
      <c r="R160" s="334" t="str">
        <f t="shared" si="43"/>
        <v>OK</v>
      </c>
      <c r="S160" s="334" t="str">
        <f t="shared" si="43"/>
        <v>OK</v>
      </c>
      <c r="T160" s="334" t="str">
        <f t="shared" si="43"/>
        <v>OK</v>
      </c>
    </row>
    <row r="161" spans="2:20" ht="14.25" outlineLevel="2">
      <c r="B161" s="359" t="s">
        <v>320</v>
      </c>
      <c r="C161" s="360"/>
      <c r="D161" s="82" t="s">
        <v>371</v>
      </c>
      <c r="E161" s="406" t="s">
        <v>31</v>
      </c>
      <c r="F161" s="407" t="s">
        <v>31</v>
      </c>
      <c r="G161" s="407" t="s">
        <v>31</v>
      </c>
      <c r="H161" s="408" t="s">
        <v>31</v>
      </c>
      <c r="I161" s="341" t="str">
        <f aca="true" t="shared" si="44" ref="I161:T161">IF(I35&gt;=I36,"OK","BŁĄD")</f>
        <v>OK</v>
      </c>
      <c r="J161" s="334" t="str">
        <f t="shared" si="44"/>
        <v>OK</v>
      </c>
      <c r="K161" s="334" t="str">
        <f t="shared" si="44"/>
        <v>OK</v>
      </c>
      <c r="L161" s="334" t="str">
        <f t="shared" si="44"/>
        <v>OK</v>
      </c>
      <c r="M161" s="334" t="str">
        <f t="shared" si="44"/>
        <v>OK</v>
      </c>
      <c r="N161" s="334" t="str">
        <f t="shared" si="44"/>
        <v>OK</v>
      </c>
      <c r="O161" s="334" t="str">
        <f t="shared" si="44"/>
        <v>OK</v>
      </c>
      <c r="P161" s="334" t="str">
        <f t="shared" si="44"/>
        <v>OK</v>
      </c>
      <c r="Q161" s="334" t="str">
        <f t="shared" si="44"/>
        <v>OK</v>
      </c>
      <c r="R161" s="334" t="str">
        <f t="shared" si="44"/>
        <v>OK</v>
      </c>
      <c r="S161" s="334" t="str">
        <f t="shared" si="44"/>
        <v>OK</v>
      </c>
      <c r="T161" s="334" t="str">
        <f t="shared" si="44"/>
        <v>OK</v>
      </c>
    </row>
    <row r="162" spans="2:20" ht="14.25" outlineLevel="2">
      <c r="B162" s="359" t="s">
        <v>321</v>
      </c>
      <c r="C162" s="360"/>
      <c r="D162" s="82" t="s">
        <v>372</v>
      </c>
      <c r="E162" s="406" t="s">
        <v>31</v>
      </c>
      <c r="F162" s="407" t="s">
        <v>31</v>
      </c>
      <c r="G162" s="407" t="s">
        <v>31</v>
      </c>
      <c r="H162" s="408" t="s">
        <v>31</v>
      </c>
      <c r="I162" s="341" t="str">
        <f aca="true" t="shared" si="45" ref="I162:T162">IF(I37&gt;=I38,"OK","BŁĄD")</f>
        <v>OK</v>
      </c>
      <c r="J162" s="334" t="str">
        <f t="shared" si="45"/>
        <v>OK</v>
      </c>
      <c r="K162" s="334" t="str">
        <f t="shared" si="45"/>
        <v>OK</v>
      </c>
      <c r="L162" s="334" t="str">
        <f t="shared" si="45"/>
        <v>OK</v>
      </c>
      <c r="M162" s="334" t="str">
        <f t="shared" si="45"/>
        <v>OK</v>
      </c>
      <c r="N162" s="334" t="str">
        <f t="shared" si="45"/>
        <v>OK</v>
      </c>
      <c r="O162" s="334" t="str">
        <f t="shared" si="45"/>
        <v>OK</v>
      </c>
      <c r="P162" s="334" t="str">
        <f t="shared" si="45"/>
        <v>OK</v>
      </c>
      <c r="Q162" s="334" t="str">
        <f t="shared" si="45"/>
        <v>OK</v>
      </c>
      <c r="R162" s="334" t="str">
        <f t="shared" si="45"/>
        <v>OK</v>
      </c>
      <c r="S162" s="334" t="str">
        <f t="shared" si="45"/>
        <v>OK</v>
      </c>
      <c r="T162" s="334" t="str">
        <f t="shared" si="45"/>
        <v>OK</v>
      </c>
    </row>
    <row r="163" spans="2:20" ht="14.25" outlineLevel="2">
      <c r="B163" s="359" t="s">
        <v>325</v>
      </c>
      <c r="C163" s="360"/>
      <c r="D163" s="82" t="s">
        <v>376</v>
      </c>
      <c r="E163" s="406" t="s">
        <v>31</v>
      </c>
      <c r="F163" s="407" t="s">
        <v>31</v>
      </c>
      <c r="G163" s="407" t="s">
        <v>31</v>
      </c>
      <c r="H163" s="408" t="s">
        <v>31</v>
      </c>
      <c r="I163" s="341" t="str">
        <f aca="true" t="shared" si="46" ref="I163:T163">IF(I40&gt;=I41,"OK","BŁĄD")</f>
        <v>OK</v>
      </c>
      <c r="J163" s="334" t="str">
        <f t="shared" si="46"/>
        <v>OK</v>
      </c>
      <c r="K163" s="334" t="str">
        <f t="shared" si="46"/>
        <v>OK</v>
      </c>
      <c r="L163" s="334" t="str">
        <f t="shared" si="46"/>
        <v>OK</v>
      </c>
      <c r="M163" s="334" t="str">
        <f t="shared" si="46"/>
        <v>OK</v>
      </c>
      <c r="N163" s="334" t="str">
        <f t="shared" si="46"/>
        <v>OK</v>
      </c>
      <c r="O163" s="334" t="str">
        <f t="shared" si="46"/>
        <v>OK</v>
      </c>
      <c r="P163" s="334" t="str">
        <f t="shared" si="46"/>
        <v>OK</v>
      </c>
      <c r="Q163" s="334" t="str">
        <f t="shared" si="46"/>
        <v>OK</v>
      </c>
      <c r="R163" s="334" t="str">
        <f t="shared" si="46"/>
        <v>OK</v>
      </c>
      <c r="S163" s="334" t="str">
        <f t="shared" si="46"/>
        <v>OK</v>
      </c>
      <c r="T163" s="334" t="str">
        <f t="shared" si="46"/>
        <v>OK</v>
      </c>
    </row>
    <row r="164" spans="2:20" ht="14.25" outlineLevel="2">
      <c r="B164" s="359" t="s">
        <v>322</v>
      </c>
      <c r="C164" s="360"/>
      <c r="D164" s="82" t="s">
        <v>373</v>
      </c>
      <c r="E164" s="406" t="s">
        <v>31</v>
      </c>
      <c r="F164" s="407" t="s">
        <v>31</v>
      </c>
      <c r="G164" s="407" t="s">
        <v>31</v>
      </c>
      <c r="H164" s="408" t="s">
        <v>31</v>
      </c>
      <c r="I164" s="341" t="str">
        <f aca="true" t="shared" si="47" ref="I164:T164">IF(I41&gt;=I42,"OK","BŁĄD")</f>
        <v>OK</v>
      </c>
      <c r="J164" s="334" t="str">
        <f t="shared" si="47"/>
        <v>OK</v>
      </c>
      <c r="K164" s="334" t="str">
        <f t="shared" si="47"/>
        <v>OK</v>
      </c>
      <c r="L164" s="334" t="str">
        <f t="shared" si="47"/>
        <v>OK</v>
      </c>
      <c r="M164" s="334" t="str">
        <f t="shared" si="47"/>
        <v>OK</v>
      </c>
      <c r="N164" s="334" t="str">
        <f t="shared" si="47"/>
        <v>OK</v>
      </c>
      <c r="O164" s="334" t="str">
        <f t="shared" si="47"/>
        <v>OK</v>
      </c>
      <c r="P164" s="334" t="str">
        <f t="shared" si="47"/>
        <v>OK</v>
      </c>
      <c r="Q164" s="334" t="str">
        <f t="shared" si="47"/>
        <v>OK</v>
      </c>
      <c r="R164" s="334" t="str">
        <f t="shared" si="47"/>
        <v>OK</v>
      </c>
      <c r="S164" s="334" t="str">
        <f t="shared" si="47"/>
        <v>OK</v>
      </c>
      <c r="T164" s="334" t="str">
        <f t="shared" si="47"/>
        <v>OK</v>
      </c>
    </row>
    <row r="165" spans="2:20" ht="14.25" outlineLevel="2">
      <c r="B165" s="359" t="s">
        <v>323</v>
      </c>
      <c r="C165" s="360"/>
      <c r="D165" s="82" t="s">
        <v>374</v>
      </c>
      <c r="E165" s="406" t="s">
        <v>31</v>
      </c>
      <c r="F165" s="407" t="s">
        <v>31</v>
      </c>
      <c r="G165" s="407" t="s">
        <v>31</v>
      </c>
      <c r="H165" s="408" t="s">
        <v>31</v>
      </c>
      <c r="I165" s="341" t="str">
        <f aca="true" t="shared" si="48" ref="I165:T165">IF(I40&gt;=I66,"OK","BŁĄD")</f>
        <v>OK</v>
      </c>
      <c r="J165" s="334" t="str">
        <f t="shared" si="48"/>
        <v>OK</v>
      </c>
      <c r="K165" s="334" t="str">
        <f t="shared" si="48"/>
        <v>OK</v>
      </c>
      <c r="L165" s="334" t="str">
        <f t="shared" si="48"/>
        <v>OK</v>
      </c>
      <c r="M165" s="334" t="str">
        <f t="shared" si="48"/>
        <v>OK</v>
      </c>
      <c r="N165" s="334" t="str">
        <f t="shared" si="48"/>
        <v>OK</v>
      </c>
      <c r="O165" s="334" t="str">
        <f t="shared" si="48"/>
        <v>OK</v>
      </c>
      <c r="P165" s="334" t="str">
        <f t="shared" si="48"/>
        <v>OK</v>
      </c>
      <c r="Q165" s="334" t="str">
        <f t="shared" si="48"/>
        <v>OK</v>
      </c>
      <c r="R165" s="334" t="str">
        <f t="shared" si="48"/>
        <v>OK</v>
      </c>
      <c r="S165" s="334" t="str">
        <f t="shared" si="48"/>
        <v>OK</v>
      </c>
      <c r="T165" s="334" t="str">
        <f t="shared" si="48"/>
        <v>OK</v>
      </c>
    </row>
    <row r="166" spans="2:20" ht="14.25" outlineLevel="2">
      <c r="B166" s="359" t="s">
        <v>324</v>
      </c>
      <c r="C166" s="360"/>
      <c r="D166" s="82" t="s">
        <v>375</v>
      </c>
      <c r="E166" s="406" t="s">
        <v>31</v>
      </c>
      <c r="F166" s="407" t="s">
        <v>31</v>
      </c>
      <c r="G166" s="407" t="s">
        <v>31</v>
      </c>
      <c r="H166" s="408" t="s">
        <v>31</v>
      </c>
      <c r="I166" s="341" t="str">
        <f aca="true" t="shared" si="49" ref="I166:T166">IF(I40&gt;=I98,"OK","BŁĄD")</f>
        <v>OK</v>
      </c>
      <c r="J166" s="334" t="str">
        <f t="shared" si="49"/>
        <v>OK</v>
      </c>
      <c r="K166" s="334" t="str">
        <f t="shared" si="49"/>
        <v>OK</v>
      </c>
      <c r="L166" s="334" t="str">
        <f t="shared" si="49"/>
        <v>OK</v>
      </c>
      <c r="M166" s="334" t="str">
        <f t="shared" si="49"/>
        <v>OK</v>
      </c>
      <c r="N166" s="334" t="str">
        <f t="shared" si="49"/>
        <v>OK</v>
      </c>
      <c r="O166" s="334" t="str">
        <f t="shared" si="49"/>
        <v>OK</v>
      </c>
      <c r="P166" s="334" t="str">
        <f t="shared" si="49"/>
        <v>OK</v>
      </c>
      <c r="Q166" s="334" t="str">
        <f t="shared" si="49"/>
        <v>OK</v>
      </c>
      <c r="R166" s="334" t="str">
        <f t="shared" si="49"/>
        <v>OK</v>
      </c>
      <c r="S166" s="334" t="str">
        <f t="shared" si="49"/>
        <v>OK</v>
      </c>
      <c r="T166" s="334" t="str">
        <f t="shared" si="49"/>
        <v>OK</v>
      </c>
    </row>
    <row r="167" spans="2:20" ht="14.25" outlineLevel="2">
      <c r="B167" s="359" t="s">
        <v>328</v>
      </c>
      <c r="C167" s="360"/>
      <c r="D167" s="82" t="s">
        <v>379</v>
      </c>
      <c r="E167" s="406" t="s">
        <v>31</v>
      </c>
      <c r="F167" s="407" t="s">
        <v>31</v>
      </c>
      <c r="G167" s="407" t="s">
        <v>31</v>
      </c>
      <c r="H167" s="408" t="s">
        <v>31</v>
      </c>
      <c r="I167" s="341" t="str">
        <f aca="true" t="shared" si="50" ref="I167:T167">IF(I44&gt;=I45,"OK","BŁĄD")</f>
        <v>OK</v>
      </c>
      <c r="J167" s="334" t="str">
        <f t="shared" si="50"/>
        <v>OK</v>
      </c>
      <c r="K167" s="334" t="str">
        <f t="shared" si="50"/>
        <v>OK</v>
      </c>
      <c r="L167" s="334" t="str">
        <f t="shared" si="50"/>
        <v>OK</v>
      </c>
      <c r="M167" s="334" t="str">
        <f t="shared" si="50"/>
        <v>OK</v>
      </c>
      <c r="N167" s="334" t="str">
        <f t="shared" si="50"/>
        <v>OK</v>
      </c>
      <c r="O167" s="334" t="str">
        <f t="shared" si="50"/>
        <v>OK</v>
      </c>
      <c r="P167" s="334" t="str">
        <f t="shared" si="50"/>
        <v>OK</v>
      </c>
      <c r="Q167" s="334" t="str">
        <f t="shared" si="50"/>
        <v>OK</v>
      </c>
      <c r="R167" s="334" t="str">
        <f t="shared" si="50"/>
        <v>OK</v>
      </c>
      <c r="S167" s="334" t="str">
        <f t="shared" si="50"/>
        <v>OK</v>
      </c>
      <c r="T167" s="334" t="str">
        <f t="shared" si="50"/>
        <v>OK</v>
      </c>
    </row>
    <row r="168" spans="2:20" ht="14.25" outlineLevel="2">
      <c r="B168" s="359" t="s">
        <v>329</v>
      </c>
      <c r="C168" s="360"/>
      <c r="D168" s="82" t="s">
        <v>380</v>
      </c>
      <c r="E168" s="406" t="s">
        <v>31</v>
      </c>
      <c r="F168" s="407" t="s">
        <v>31</v>
      </c>
      <c r="G168" s="407" t="s">
        <v>31</v>
      </c>
      <c r="H168" s="408" t="s">
        <v>31</v>
      </c>
      <c r="I168" s="341" t="str">
        <f aca="true" t="shared" si="51" ref="I168:T168">IF(I44&gt;=I49,"OK","BŁĄD")</f>
        <v>OK</v>
      </c>
      <c r="J168" s="334" t="str">
        <f t="shared" si="51"/>
        <v>OK</v>
      </c>
      <c r="K168" s="334" t="str">
        <f t="shared" si="51"/>
        <v>OK</v>
      </c>
      <c r="L168" s="334" t="str">
        <f t="shared" si="51"/>
        <v>OK</v>
      </c>
      <c r="M168" s="334" t="str">
        <f t="shared" si="51"/>
        <v>OK</v>
      </c>
      <c r="N168" s="334" t="str">
        <f t="shared" si="51"/>
        <v>OK</v>
      </c>
      <c r="O168" s="334" t="str">
        <f t="shared" si="51"/>
        <v>OK</v>
      </c>
      <c r="P168" s="334" t="str">
        <f t="shared" si="51"/>
        <v>OK</v>
      </c>
      <c r="Q168" s="334" t="str">
        <f t="shared" si="51"/>
        <v>OK</v>
      </c>
      <c r="R168" s="334" t="str">
        <f t="shared" si="51"/>
        <v>OK</v>
      </c>
      <c r="S168" s="334" t="str">
        <f t="shared" si="51"/>
        <v>OK</v>
      </c>
      <c r="T168" s="334" t="str">
        <f t="shared" si="51"/>
        <v>OK</v>
      </c>
    </row>
    <row r="169" spans="2:20" ht="14.25" outlineLevel="2">
      <c r="B169" s="359" t="s">
        <v>327</v>
      </c>
      <c r="C169" s="360"/>
      <c r="D169" s="82" t="s">
        <v>378</v>
      </c>
      <c r="E169" s="406" t="s">
        <v>31</v>
      </c>
      <c r="F169" s="407" t="s">
        <v>31</v>
      </c>
      <c r="G169" s="407" t="s">
        <v>31</v>
      </c>
      <c r="H169" s="408" t="s">
        <v>31</v>
      </c>
      <c r="I169" s="341" t="str">
        <f aca="true" t="shared" si="52" ref="I169:T169">IF(I44&gt;=I99,"OK","BŁĄD")</f>
        <v>OK</v>
      </c>
      <c r="J169" s="334" t="str">
        <f t="shared" si="52"/>
        <v>OK</v>
      </c>
      <c r="K169" s="334" t="str">
        <f t="shared" si="52"/>
        <v>OK</v>
      </c>
      <c r="L169" s="334" t="str">
        <f t="shared" si="52"/>
        <v>OK</v>
      </c>
      <c r="M169" s="334" t="str">
        <f t="shared" si="52"/>
        <v>OK</v>
      </c>
      <c r="N169" s="334" t="str">
        <f t="shared" si="52"/>
        <v>OK</v>
      </c>
      <c r="O169" s="334" t="str">
        <f t="shared" si="52"/>
        <v>OK</v>
      </c>
      <c r="P169" s="334" t="str">
        <f t="shared" si="52"/>
        <v>OK</v>
      </c>
      <c r="Q169" s="334" t="str">
        <f t="shared" si="52"/>
        <v>OK</v>
      </c>
      <c r="R169" s="334" t="str">
        <f t="shared" si="52"/>
        <v>OK</v>
      </c>
      <c r="S169" s="334" t="str">
        <f t="shared" si="52"/>
        <v>OK</v>
      </c>
      <c r="T169" s="334" t="str">
        <f t="shared" si="52"/>
        <v>OK</v>
      </c>
    </row>
    <row r="170" spans="2:20" ht="14.25" outlineLevel="2">
      <c r="B170" s="359" t="s">
        <v>326</v>
      </c>
      <c r="C170" s="360"/>
      <c r="D170" s="82" t="s">
        <v>377</v>
      </c>
      <c r="E170" s="406" t="s">
        <v>31</v>
      </c>
      <c r="F170" s="407" t="s">
        <v>31</v>
      </c>
      <c r="G170" s="407" t="s">
        <v>31</v>
      </c>
      <c r="H170" s="408" t="s">
        <v>31</v>
      </c>
      <c r="I170" s="341" t="str">
        <f aca="true" t="shared" si="53" ref="I170:T170">+IF(I45&gt;=I46,"OK","BŁĄD")</f>
        <v>OK</v>
      </c>
      <c r="J170" s="334" t="str">
        <f t="shared" si="53"/>
        <v>OK</v>
      </c>
      <c r="K170" s="334" t="str">
        <f t="shared" si="53"/>
        <v>OK</v>
      </c>
      <c r="L170" s="334" t="str">
        <f t="shared" si="53"/>
        <v>OK</v>
      </c>
      <c r="M170" s="334" t="str">
        <f t="shared" si="53"/>
        <v>OK</v>
      </c>
      <c r="N170" s="334" t="str">
        <f t="shared" si="53"/>
        <v>OK</v>
      </c>
      <c r="O170" s="334" t="str">
        <f t="shared" si="53"/>
        <v>OK</v>
      </c>
      <c r="P170" s="334" t="str">
        <f t="shared" si="53"/>
        <v>OK</v>
      </c>
      <c r="Q170" s="334" t="str">
        <f t="shared" si="53"/>
        <v>OK</v>
      </c>
      <c r="R170" s="334" t="str">
        <f t="shared" si="53"/>
        <v>OK</v>
      </c>
      <c r="S170" s="334" t="str">
        <f t="shared" si="53"/>
        <v>OK</v>
      </c>
      <c r="T170" s="334" t="str">
        <f t="shared" si="53"/>
        <v>OK</v>
      </c>
    </row>
    <row r="171" spans="2:20" ht="14.25" outlineLevel="2">
      <c r="B171" s="359" t="s">
        <v>330</v>
      </c>
      <c r="C171" s="360"/>
      <c r="D171" s="82" t="s">
        <v>381</v>
      </c>
      <c r="E171" s="406" t="s">
        <v>31</v>
      </c>
      <c r="F171" s="407" t="s">
        <v>31</v>
      </c>
      <c r="G171" s="407" t="s">
        <v>31</v>
      </c>
      <c r="H171" s="408" t="s">
        <v>31</v>
      </c>
      <c r="I171" s="341" t="str">
        <f aca="true" t="shared" si="54" ref="I171:T171">IF(I49&gt;=I90,"OK","BŁĄD")</f>
        <v>OK</v>
      </c>
      <c r="J171" s="334" t="str">
        <f t="shared" si="54"/>
        <v>OK</v>
      </c>
      <c r="K171" s="334" t="str">
        <f t="shared" si="54"/>
        <v>OK</v>
      </c>
      <c r="L171" s="334" t="str">
        <f t="shared" si="54"/>
        <v>OK</v>
      </c>
      <c r="M171" s="334" t="str">
        <f t="shared" si="54"/>
        <v>OK</v>
      </c>
      <c r="N171" s="334" t="str">
        <f t="shared" si="54"/>
        <v>OK</v>
      </c>
      <c r="O171" s="334" t="str">
        <f t="shared" si="54"/>
        <v>OK</v>
      </c>
      <c r="P171" s="334" t="str">
        <f t="shared" si="54"/>
        <v>OK</v>
      </c>
      <c r="Q171" s="334" t="str">
        <f t="shared" si="54"/>
        <v>OK</v>
      </c>
      <c r="R171" s="334" t="str">
        <f t="shared" si="54"/>
        <v>OK</v>
      </c>
      <c r="S171" s="334" t="str">
        <f t="shared" si="54"/>
        <v>OK</v>
      </c>
      <c r="T171" s="334" t="str">
        <f t="shared" si="54"/>
        <v>OK</v>
      </c>
    </row>
    <row r="172" spans="2:20" ht="14.25" outlineLevel="2">
      <c r="B172" s="361" t="s">
        <v>331</v>
      </c>
      <c r="C172" s="362"/>
      <c r="D172" s="83" t="s">
        <v>382</v>
      </c>
      <c r="E172" s="410" t="s">
        <v>31</v>
      </c>
      <c r="F172" s="411" t="s">
        <v>31</v>
      </c>
      <c r="G172" s="411" t="s">
        <v>31</v>
      </c>
      <c r="H172" s="412" t="s">
        <v>31</v>
      </c>
      <c r="I172" s="342" t="str">
        <f aca="true" t="shared" si="55" ref="I172:T172">IF(I26&lt;&gt;0,IF(I27&lt;&gt;0,"OK","BŁĄD"),"N/D")</f>
        <v>OK</v>
      </c>
      <c r="J172" s="338" t="str">
        <f t="shared" si="55"/>
        <v>OK</v>
      </c>
      <c r="K172" s="338" t="str">
        <f t="shared" si="55"/>
        <v>OK</v>
      </c>
      <c r="L172" s="338" t="str">
        <f t="shared" si="55"/>
        <v>OK</v>
      </c>
      <c r="M172" s="338" t="str">
        <f t="shared" si="55"/>
        <v>OK</v>
      </c>
      <c r="N172" s="338" t="str">
        <f t="shared" si="55"/>
        <v>OK</v>
      </c>
      <c r="O172" s="338" t="str">
        <f t="shared" si="55"/>
        <v>OK</v>
      </c>
      <c r="P172" s="338" t="str">
        <f t="shared" si="55"/>
        <v>OK</v>
      </c>
      <c r="Q172" s="338" t="str">
        <f t="shared" si="55"/>
        <v>OK</v>
      </c>
      <c r="R172" s="338" t="str">
        <f t="shared" si="55"/>
        <v>OK</v>
      </c>
      <c r="S172" s="338" t="str">
        <f t="shared" si="55"/>
        <v>OK</v>
      </c>
      <c r="T172" s="338" t="str">
        <f t="shared" si="55"/>
        <v>OK</v>
      </c>
    </row>
    <row r="173" spans="2:20" ht="14.25" outlineLevel="2">
      <c r="B173" s="77"/>
      <c r="C173" s="77"/>
      <c r="D173" s="77"/>
      <c r="E173" s="24"/>
      <c r="F173" s="24"/>
      <c r="G173" s="24"/>
      <c r="H173" s="24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</row>
    <row r="174" spans="2:20" ht="14.25" outlineLevel="1">
      <c r="B174" s="77"/>
      <c r="C174" s="77"/>
      <c r="D174" s="305" t="s">
        <v>443</v>
      </c>
      <c r="E174" s="24"/>
      <c r="F174" s="24"/>
      <c r="G174" s="24"/>
      <c r="H174" s="24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</row>
    <row r="175" spans="2:20" ht="15" outlineLevel="2">
      <c r="B175" s="175"/>
      <c r="C175" s="175"/>
      <c r="D175" s="176" t="s">
        <v>32</v>
      </c>
      <c r="E175" s="224">
        <f aca="true" t="shared" si="56" ref="E175:T175">E11+E18</f>
        <v>17694090.439999998</v>
      </c>
      <c r="F175" s="225">
        <f t="shared" si="56"/>
        <v>19338026.07</v>
      </c>
      <c r="G175" s="225">
        <f t="shared" si="56"/>
        <v>25997535</v>
      </c>
      <c r="H175" s="226">
        <f t="shared" si="56"/>
        <v>24644334.580000002</v>
      </c>
      <c r="I175" s="177">
        <f t="shared" si="56"/>
        <v>22025356.34</v>
      </c>
      <c r="J175" s="178">
        <f t="shared" si="56"/>
        <v>19850045</v>
      </c>
      <c r="K175" s="178">
        <f t="shared" si="56"/>
        <v>20979000</v>
      </c>
      <c r="L175" s="178">
        <f t="shared" si="56"/>
        <v>20700000</v>
      </c>
      <c r="M175" s="178">
        <f t="shared" si="56"/>
        <v>21300000</v>
      </c>
      <c r="N175" s="178">
        <f t="shared" si="56"/>
        <v>21900000</v>
      </c>
      <c r="O175" s="178">
        <f t="shared" si="56"/>
        <v>22500000</v>
      </c>
      <c r="P175" s="178">
        <f t="shared" si="56"/>
        <v>23000000</v>
      </c>
      <c r="Q175" s="178">
        <f t="shared" si="56"/>
        <v>23468000</v>
      </c>
      <c r="R175" s="178">
        <f t="shared" si="56"/>
        <v>23937000</v>
      </c>
      <c r="S175" s="178">
        <f t="shared" si="56"/>
        <v>24416000</v>
      </c>
      <c r="T175" s="178">
        <f t="shared" si="56"/>
        <v>24900000</v>
      </c>
    </row>
    <row r="176" spans="2:20" ht="15" outlineLevel="2">
      <c r="B176" s="175"/>
      <c r="C176" s="175"/>
      <c r="D176" s="180" t="s">
        <v>33</v>
      </c>
      <c r="E176" s="227">
        <f aca="true" t="shared" si="57" ref="E176:T176">E22+E28</f>
        <v>22089749.59</v>
      </c>
      <c r="F176" s="228">
        <f t="shared" si="57"/>
        <v>21767768.689999998</v>
      </c>
      <c r="G176" s="228">
        <f t="shared" si="57"/>
        <v>22390040</v>
      </c>
      <c r="H176" s="229">
        <f t="shared" si="57"/>
        <v>20539963.48</v>
      </c>
      <c r="I176" s="181">
        <f t="shared" si="57"/>
        <v>21687098.34</v>
      </c>
      <c r="J176" s="182">
        <f t="shared" si="57"/>
        <v>19815010</v>
      </c>
      <c r="K176" s="182">
        <f t="shared" si="57"/>
        <v>20604965</v>
      </c>
      <c r="L176" s="182">
        <f t="shared" si="57"/>
        <v>19784865</v>
      </c>
      <c r="M176" s="182">
        <f t="shared" si="57"/>
        <v>20384865</v>
      </c>
      <c r="N176" s="182">
        <f t="shared" si="57"/>
        <v>21034485</v>
      </c>
      <c r="O176" s="182">
        <f t="shared" si="57"/>
        <v>21724449</v>
      </c>
      <c r="P176" s="182">
        <f t="shared" si="57"/>
        <v>22418449</v>
      </c>
      <c r="Q176" s="182">
        <f t="shared" si="57"/>
        <v>22751149</v>
      </c>
      <c r="R176" s="182">
        <f t="shared" si="57"/>
        <v>23220149</v>
      </c>
      <c r="S176" s="182">
        <f t="shared" si="57"/>
        <v>23746549</v>
      </c>
      <c r="T176" s="182">
        <f t="shared" si="57"/>
        <v>24445650</v>
      </c>
    </row>
    <row r="177" spans="2:20" ht="15" outlineLevel="2">
      <c r="B177" s="175"/>
      <c r="C177" s="175"/>
      <c r="D177" s="180" t="s">
        <v>387</v>
      </c>
      <c r="E177" s="227">
        <f aca="true" t="shared" si="58" ref="E177:T177">E10-E21</f>
        <v>-4395659.1499999985</v>
      </c>
      <c r="F177" s="228">
        <f t="shared" si="58"/>
        <v>-2429742.620000001</v>
      </c>
      <c r="G177" s="228">
        <f t="shared" si="58"/>
        <v>3607495</v>
      </c>
      <c r="H177" s="229">
        <f t="shared" si="58"/>
        <v>4104371.0999999978</v>
      </c>
      <c r="I177" s="181">
        <f t="shared" si="58"/>
        <v>338258</v>
      </c>
      <c r="J177" s="182">
        <f t="shared" si="58"/>
        <v>35035</v>
      </c>
      <c r="K177" s="182">
        <f t="shared" si="58"/>
        <v>374035</v>
      </c>
      <c r="L177" s="182">
        <f t="shared" si="58"/>
        <v>915135</v>
      </c>
      <c r="M177" s="182">
        <f t="shared" si="58"/>
        <v>915135</v>
      </c>
      <c r="N177" s="182">
        <f t="shared" si="58"/>
        <v>865515</v>
      </c>
      <c r="O177" s="182">
        <f t="shared" si="58"/>
        <v>775551</v>
      </c>
      <c r="P177" s="182">
        <f t="shared" si="58"/>
        <v>581551</v>
      </c>
      <c r="Q177" s="182">
        <f t="shared" si="58"/>
        <v>716851</v>
      </c>
      <c r="R177" s="182">
        <f t="shared" si="58"/>
        <v>716851</v>
      </c>
      <c r="S177" s="182">
        <f t="shared" si="58"/>
        <v>669451</v>
      </c>
      <c r="T177" s="182">
        <f t="shared" si="58"/>
        <v>454350</v>
      </c>
    </row>
    <row r="178" spans="2:20" ht="15" outlineLevel="2">
      <c r="B178" s="175"/>
      <c r="C178" s="175"/>
      <c r="D178" s="184" t="s">
        <v>388</v>
      </c>
      <c r="E178" s="373" t="s">
        <v>31</v>
      </c>
      <c r="F178" s="228">
        <f>E44+F35-F40+(F99-E99)+F104</f>
        <v>12551075.579999998</v>
      </c>
      <c r="G178" s="413" t="s">
        <v>31</v>
      </c>
      <c r="H178" s="229">
        <f>F44+H35-H40+(H99-F99)+H104</f>
        <v>7854595.09</v>
      </c>
      <c r="I178" s="181">
        <f aca="true" t="shared" si="59" ref="I178:T178">H44+I35-I40+(I99-H99)+I104</f>
        <v>7019460.09</v>
      </c>
      <c r="J178" s="182">
        <f t="shared" si="59"/>
        <v>6984425</v>
      </c>
      <c r="K178" s="182">
        <f t="shared" si="59"/>
        <v>6610390</v>
      </c>
      <c r="L178" s="182">
        <f t="shared" si="59"/>
        <v>5695255</v>
      </c>
      <c r="M178" s="182">
        <f t="shared" si="59"/>
        <v>4780120</v>
      </c>
      <c r="N178" s="182">
        <f t="shared" si="59"/>
        <v>3914605</v>
      </c>
      <c r="O178" s="182">
        <f t="shared" si="59"/>
        <v>3139054</v>
      </c>
      <c r="P178" s="182">
        <f t="shared" si="59"/>
        <v>2557503</v>
      </c>
      <c r="Q178" s="182">
        <f t="shared" si="59"/>
        <v>1840652</v>
      </c>
      <c r="R178" s="182">
        <f t="shared" si="59"/>
        <v>1123801</v>
      </c>
      <c r="S178" s="182">
        <f t="shared" si="59"/>
        <v>454350</v>
      </c>
      <c r="T178" s="182">
        <f t="shared" si="59"/>
        <v>0</v>
      </c>
    </row>
    <row r="179" spans="2:20" ht="24" outlineLevel="2">
      <c r="B179" s="175"/>
      <c r="C179" s="175"/>
      <c r="D179" s="185" t="s">
        <v>449</v>
      </c>
      <c r="E179" s="333" t="s">
        <v>31</v>
      </c>
      <c r="F179" s="230">
        <f>E90-(F92+F93+F94+F95)</f>
        <v>0</v>
      </c>
      <c r="G179" s="414" t="s">
        <v>31</v>
      </c>
      <c r="H179" s="231">
        <f>F90-(H92+H93+H94+H95)</f>
        <v>0</v>
      </c>
      <c r="I179" s="186">
        <f>H90-(I92+I93+I94+I95)</f>
        <v>0</v>
      </c>
      <c r="J179" s="187">
        <f aca="true" t="shared" si="60" ref="J179:T179">I90-(J92+J93+J94+J95)</f>
        <v>0</v>
      </c>
      <c r="K179" s="187">
        <f t="shared" si="60"/>
        <v>0</v>
      </c>
      <c r="L179" s="187">
        <f t="shared" si="60"/>
        <v>0</v>
      </c>
      <c r="M179" s="187">
        <f t="shared" si="60"/>
        <v>0</v>
      </c>
      <c r="N179" s="187">
        <f t="shared" si="60"/>
        <v>0</v>
      </c>
      <c r="O179" s="187">
        <f t="shared" si="60"/>
        <v>0</v>
      </c>
      <c r="P179" s="187">
        <f t="shared" si="60"/>
        <v>0</v>
      </c>
      <c r="Q179" s="187">
        <f t="shared" si="60"/>
        <v>0</v>
      </c>
      <c r="R179" s="187">
        <f t="shared" si="60"/>
        <v>0</v>
      </c>
      <c r="S179" s="187">
        <f t="shared" si="60"/>
        <v>0</v>
      </c>
      <c r="T179" s="187">
        <f t="shared" si="60"/>
        <v>0</v>
      </c>
    </row>
    <row r="180" spans="5:8" ht="14.25">
      <c r="E180" s="6"/>
      <c r="F180" s="6"/>
      <c r="G180" s="6"/>
      <c r="H180" s="6"/>
    </row>
    <row r="181" spans="4:8" ht="15.75">
      <c r="D181" s="302" t="s">
        <v>35</v>
      </c>
      <c r="E181" s="72"/>
      <c r="F181" s="72"/>
      <c r="G181" s="72"/>
      <c r="H181" s="72"/>
    </row>
    <row r="182" spans="4:8" ht="14.25" outlineLevel="1">
      <c r="D182" s="303" t="s">
        <v>40</v>
      </c>
      <c r="E182" s="73"/>
      <c r="F182" s="73"/>
      <c r="G182" s="73"/>
      <c r="H182" s="73"/>
    </row>
    <row r="183" spans="4:20" ht="14.25" outlineLevel="2">
      <c r="D183" s="30">
        <v>0</v>
      </c>
      <c r="E183" s="33" t="str">
        <f>+"różnica mniejsza od "&amp;TEXT(D183*100,"0,0")&amp;"%"</f>
        <v>różnica mniejsza od 0,0%</v>
      </c>
      <c r="F183" s="74"/>
      <c r="G183" s="74"/>
      <c r="H183" s="74"/>
      <c r="I183" s="2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4:20" ht="14.25" outlineLevel="2">
      <c r="D184" s="31">
        <v>0.005</v>
      </c>
      <c r="E184" s="33" t="str">
        <f>+"różnica mniejsza od "&amp;TEXT(D184*100,"0,0")&amp;"%"</f>
        <v>różnica mniejsza od 0,5%</v>
      </c>
      <c r="F184" s="74"/>
      <c r="G184" s="74"/>
      <c r="H184" s="74"/>
      <c r="I184" s="2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4:20" ht="14.25" outlineLevel="2">
      <c r="D185" s="32">
        <v>0.01</v>
      </c>
      <c r="E185" s="33" t="str">
        <f>+"różnica mniejsza od "&amp;TEXT(D185*100,"0,0")&amp;"%"</f>
        <v>różnica mniejsza od 1,0%</v>
      </c>
      <c r="F185" s="74"/>
      <c r="G185" s="74"/>
      <c r="H185" s="74"/>
      <c r="I185" s="2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4:20" ht="14.25" outlineLevel="2">
      <c r="D186" s="287" t="s">
        <v>428</v>
      </c>
      <c r="E186" s="380" t="s">
        <v>31</v>
      </c>
      <c r="F186" s="381" t="s">
        <v>31</v>
      </c>
      <c r="G186" s="381" t="s">
        <v>31</v>
      </c>
      <c r="H186" s="382" t="s">
        <v>31</v>
      </c>
      <c r="I186" s="288">
        <f aca="true" t="shared" si="61" ref="I186:T186">+IF(I10=0,"",I61-I56)</f>
        <v>0.07560000000000001</v>
      </c>
      <c r="J186" s="289">
        <f t="shared" si="61"/>
        <v>0.0567</v>
      </c>
      <c r="K186" s="289">
        <f t="shared" si="61"/>
        <v>0.024799999999999996</v>
      </c>
      <c r="L186" s="289">
        <f t="shared" si="61"/>
        <v>0.010400000000000006</v>
      </c>
      <c r="M186" s="289">
        <f t="shared" si="61"/>
        <v>0.013700000000000004</v>
      </c>
      <c r="N186" s="289">
        <f t="shared" si="61"/>
        <v>0.02609999999999999</v>
      </c>
      <c r="O186" s="289">
        <f t="shared" si="61"/>
        <v>0.0391</v>
      </c>
      <c r="P186" s="289">
        <f t="shared" si="61"/>
        <v>0.05940000000000001</v>
      </c>
      <c r="Q186" s="289">
        <f t="shared" si="61"/>
        <v>0.0627</v>
      </c>
      <c r="R186" s="289">
        <f t="shared" si="61"/>
        <v>0.0726</v>
      </c>
      <c r="S186" s="289">
        <f t="shared" si="61"/>
        <v>0.085</v>
      </c>
      <c r="T186" s="289">
        <f t="shared" si="61"/>
        <v>0.1055</v>
      </c>
    </row>
    <row r="187" spans="4:20" ht="14.25" outlineLevel="2">
      <c r="D187" s="291" t="s">
        <v>429</v>
      </c>
      <c r="E187" s="383" t="s">
        <v>31</v>
      </c>
      <c r="F187" s="384" t="s">
        <v>31</v>
      </c>
      <c r="G187" s="384" t="s">
        <v>31</v>
      </c>
      <c r="H187" s="385" t="s">
        <v>31</v>
      </c>
      <c r="I187" s="292">
        <f aca="true" t="shared" si="62" ref="I187:T187">+IF(I10=0,"",I61-I57)</f>
        <v>0.07560000000000001</v>
      </c>
      <c r="J187" s="293">
        <f t="shared" si="62"/>
        <v>0.0567</v>
      </c>
      <c r="K187" s="293">
        <f t="shared" si="62"/>
        <v>0.024799999999999996</v>
      </c>
      <c r="L187" s="293">
        <f t="shared" si="62"/>
        <v>0.010400000000000006</v>
      </c>
      <c r="M187" s="293">
        <f t="shared" si="62"/>
        <v>0.013700000000000004</v>
      </c>
      <c r="N187" s="293">
        <f t="shared" si="62"/>
        <v>0.02609999999999999</v>
      </c>
      <c r="O187" s="293">
        <f t="shared" si="62"/>
        <v>0.0391</v>
      </c>
      <c r="P187" s="293">
        <f t="shared" si="62"/>
        <v>0.05940000000000001</v>
      </c>
      <c r="Q187" s="293">
        <f t="shared" si="62"/>
        <v>0.0627</v>
      </c>
      <c r="R187" s="293">
        <f t="shared" si="62"/>
        <v>0.0726</v>
      </c>
      <c r="S187" s="293">
        <f t="shared" si="62"/>
        <v>0.085</v>
      </c>
      <c r="T187" s="293">
        <f t="shared" si="62"/>
        <v>0.1055</v>
      </c>
    </row>
    <row r="188" spans="4:20" ht="14.25" outlineLevel="2">
      <c r="D188" s="287" t="s">
        <v>430</v>
      </c>
      <c r="E188" s="380" t="s">
        <v>31</v>
      </c>
      <c r="F188" s="381" t="s">
        <v>31</v>
      </c>
      <c r="G188" s="381" t="s">
        <v>31</v>
      </c>
      <c r="H188" s="382" t="s">
        <v>31</v>
      </c>
      <c r="I188" s="288">
        <f aca="true" t="shared" si="63" ref="I188:T188">+IF(I10=0,"",I62-I56)</f>
        <v>0.0813</v>
      </c>
      <c r="J188" s="289">
        <f t="shared" si="63"/>
        <v>0.0624</v>
      </c>
      <c r="K188" s="289">
        <f t="shared" si="63"/>
        <v>0.030500000000000006</v>
      </c>
      <c r="L188" s="289">
        <f t="shared" si="63"/>
        <v>0.010400000000000006</v>
      </c>
      <c r="M188" s="289">
        <f t="shared" si="63"/>
        <v>0.013700000000000004</v>
      </c>
      <c r="N188" s="289">
        <f t="shared" si="63"/>
        <v>0.02609999999999999</v>
      </c>
      <c r="O188" s="289">
        <f t="shared" si="63"/>
        <v>0.0391</v>
      </c>
      <c r="P188" s="289">
        <f t="shared" si="63"/>
        <v>0.05940000000000001</v>
      </c>
      <c r="Q188" s="289">
        <f t="shared" si="63"/>
        <v>0.0627</v>
      </c>
      <c r="R188" s="289">
        <f t="shared" si="63"/>
        <v>0.0726</v>
      </c>
      <c r="S188" s="289">
        <f t="shared" si="63"/>
        <v>0.085</v>
      </c>
      <c r="T188" s="289">
        <f t="shared" si="63"/>
        <v>0.1055</v>
      </c>
    </row>
    <row r="189" spans="4:20" ht="14.25" outlineLevel="2">
      <c r="D189" s="291" t="s">
        <v>431</v>
      </c>
      <c r="E189" s="383" t="s">
        <v>31</v>
      </c>
      <c r="F189" s="384" t="s">
        <v>31</v>
      </c>
      <c r="G189" s="384" t="s">
        <v>31</v>
      </c>
      <c r="H189" s="385" t="s">
        <v>31</v>
      </c>
      <c r="I189" s="292">
        <f aca="true" t="shared" si="64" ref="I189:T189">+IF(I10=0,"",I62-I57)</f>
        <v>0.0813</v>
      </c>
      <c r="J189" s="293">
        <f t="shared" si="64"/>
        <v>0.0624</v>
      </c>
      <c r="K189" s="293">
        <f t="shared" si="64"/>
        <v>0.030500000000000006</v>
      </c>
      <c r="L189" s="293">
        <f t="shared" si="64"/>
        <v>0.010400000000000006</v>
      </c>
      <c r="M189" s="293">
        <f t="shared" si="64"/>
        <v>0.013700000000000004</v>
      </c>
      <c r="N189" s="293">
        <f t="shared" si="64"/>
        <v>0.02609999999999999</v>
      </c>
      <c r="O189" s="293">
        <f t="shared" si="64"/>
        <v>0.0391</v>
      </c>
      <c r="P189" s="293">
        <f t="shared" si="64"/>
        <v>0.05940000000000001</v>
      </c>
      <c r="Q189" s="293">
        <f t="shared" si="64"/>
        <v>0.0627</v>
      </c>
      <c r="R189" s="293">
        <f t="shared" si="64"/>
        <v>0.0726</v>
      </c>
      <c r="S189" s="293">
        <f t="shared" si="64"/>
        <v>0.085</v>
      </c>
      <c r="T189" s="293">
        <f t="shared" si="64"/>
        <v>0.1055</v>
      </c>
    </row>
    <row r="190" spans="4:20" ht="14.25" outlineLevel="1">
      <c r="D190" s="303" t="s">
        <v>439</v>
      </c>
      <c r="E190" s="73"/>
      <c r="F190" s="73"/>
      <c r="G190" s="73"/>
      <c r="H190" s="7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4:20" ht="14.25" outlineLevel="2">
      <c r="D191" s="27">
        <v>0.05</v>
      </c>
      <c r="E191" s="33" t="str">
        <f>+"zmiana większa niż +/- "&amp;TEXT(D191*100,"0,0")&amp;"%"</f>
        <v>zmiana większa niż +/- 5,0%</v>
      </c>
      <c r="F191" s="75"/>
      <c r="G191" s="75"/>
      <c r="H191" s="75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4:20" ht="14.25" outlineLevel="2">
      <c r="D192" s="28">
        <v>0.1</v>
      </c>
      <c r="E192" s="33" t="str">
        <f>+"zmiana większa niż +/- "&amp;TEXT(D192*100,"0,0")&amp;"%"</f>
        <v>zmiana większa niż +/- 10,0%</v>
      </c>
      <c r="F192" s="75"/>
      <c r="G192" s="75"/>
      <c r="H192" s="75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4:20" ht="24" outlineLevel="2">
      <c r="D193" s="29">
        <v>0.2</v>
      </c>
      <c r="E193" s="33" t="str">
        <f>+"zmiana większa niż +/- "&amp;TEXT(D193*100,"0,0")&amp;"%"</f>
        <v>zmiana większa niż +/- 20,0%</v>
      </c>
      <c r="F193" s="75"/>
      <c r="G193" s="417" t="s">
        <v>480</v>
      </c>
      <c r="H193" s="417" t="s">
        <v>479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2:20" ht="14.25" outlineLevel="2">
      <c r="B194" s="272"/>
      <c r="C194" s="272"/>
      <c r="D194" s="190" t="s">
        <v>26</v>
      </c>
      <c r="E194" s="386" t="s">
        <v>427</v>
      </c>
      <c r="F194" s="191">
        <f aca="true" t="shared" si="65" ref="F194:T194">+IF(F10=0,0,IF(E220&lt;&gt;0,F220/E220-1,0))</f>
        <v>0.09290873896991325</v>
      </c>
      <c r="G194" s="191">
        <f t="shared" si="65"/>
        <v>0.34437376937510766</v>
      </c>
      <c r="H194" s="192">
        <f t="shared" si="65"/>
        <v>-0.052051104845132534</v>
      </c>
      <c r="I194" s="273">
        <f t="shared" si="65"/>
        <v>-0.10627100648622989</v>
      </c>
      <c r="J194" s="274">
        <f t="shared" si="65"/>
        <v>-0.09876395670609162</v>
      </c>
      <c r="K194" s="274">
        <f t="shared" si="65"/>
        <v>0.05687417837088016</v>
      </c>
      <c r="L194" s="274">
        <f t="shared" si="65"/>
        <v>-0.013299013299013285</v>
      </c>
      <c r="M194" s="274">
        <f t="shared" si="65"/>
        <v>0.02898550724637672</v>
      </c>
      <c r="N194" s="274">
        <f t="shared" si="65"/>
        <v>0.028169014084507005</v>
      </c>
      <c r="O194" s="274">
        <f t="shared" si="65"/>
        <v>0.027397260273972712</v>
      </c>
      <c r="P194" s="274">
        <f t="shared" si="65"/>
        <v>0.022222222222222143</v>
      </c>
      <c r="Q194" s="274">
        <f t="shared" si="65"/>
        <v>0.02034782608695651</v>
      </c>
      <c r="R194" s="274">
        <f t="shared" si="65"/>
        <v>0.019984659962502205</v>
      </c>
      <c r="S194" s="274">
        <f t="shared" si="65"/>
        <v>0.02001086184567824</v>
      </c>
      <c r="T194" s="274">
        <f t="shared" si="65"/>
        <v>0.019823066841415438</v>
      </c>
    </row>
    <row r="195" spans="2:20" ht="14.25" outlineLevel="2">
      <c r="B195" s="189"/>
      <c r="C195" s="189"/>
      <c r="D195" s="193" t="s">
        <v>391</v>
      </c>
      <c r="E195" s="387" t="s">
        <v>427</v>
      </c>
      <c r="F195" s="232">
        <f aca="true" t="shared" si="66" ref="F195:T195">+IF(F10=0,0,IF(E221&lt;&gt;0,F221/E221-1,0))</f>
        <v>0.09290873896991325</v>
      </c>
      <c r="G195" s="232">
        <f t="shared" si="66"/>
        <v>0.34437376937510766</v>
      </c>
      <c r="H195" s="233">
        <f t="shared" si="66"/>
        <v>-0.052051104845132534</v>
      </c>
      <c r="I195" s="194">
        <f t="shared" si="66"/>
        <v>-0.1598606993104701</v>
      </c>
      <c r="J195" s="195">
        <f t="shared" si="66"/>
        <v>-0.04127710579623023</v>
      </c>
      <c r="K195" s="195">
        <f t="shared" si="66"/>
        <v>0.05687417837088016</v>
      </c>
      <c r="L195" s="195">
        <f t="shared" si="66"/>
        <v>-0.013299013299013285</v>
      </c>
      <c r="M195" s="195">
        <f t="shared" si="66"/>
        <v>0.02898550724637672</v>
      </c>
      <c r="N195" s="195">
        <f t="shared" si="66"/>
        <v>0.028169014084507005</v>
      </c>
      <c r="O195" s="195">
        <f t="shared" si="66"/>
        <v>0.027397260273972712</v>
      </c>
      <c r="P195" s="195">
        <f t="shared" si="66"/>
        <v>0.022222222222222143</v>
      </c>
      <c r="Q195" s="195">
        <f t="shared" si="66"/>
        <v>0.02034782608695651</v>
      </c>
      <c r="R195" s="195">
        <f t="shared" si="66"/>
        <v>0.019984659962502205</v>
      </c>
      <c r="S195" s="195">
        <f t="shared" si="66"/>
        <v>0.02001086184567824</v>
      </c>
      <c r="T195" s="195">
        <f t="shared" si="66"/>
        <v>0.019823066841415438</v>
      </c>
    </row>
    <row r="196" spans="2:20" ht="14.25" outlineLevel="2">
      <c r="B196" s="189"/>
      <c r="C196" s="189"/>
      <c r="D196" s="197" t="s">
        <v>392</v>
      </c>
      <c r="E196" s="388" t="s">
        <v>427</v>
      </c>
      <c r="F196" s="234">
        <f aca="true" t="shared" si="67" ref="F196:T196">+IF(F10=0,0,IF(E222&lt;&gt;0,F222/E222-1,0))</f>
        <v>0.12886262084576794</v>
      </c>
      <c r="G196" s="234">
        <f t="shared" si="67"/>
        <v>-0.014958516498069563</v>
      </c>
      <c r="H196" s="235">
        <f t="shared" si="67"/>
        <v>0.005218951598412902</v>
      </c>
      <c r="I196" s="194">
        <f t="shared" si="67"/>
        <v>0.07802311727755384</v>
      </c>
      <c r="J196" s="195">
        <f t="shared" si="67"/>
        <v>0.009510824091568448</v>
      </c>
      <c r="K196" s="195">
        <f t="shared" si="67"/>
        <v>0.04144834895462668</v>
      </c>
      <c r="L196" s="195">
        <f t="shared" si="67"/>
        <v>0.029850746268656803</v>
      </c>
      <c r="M196" s="195">
        <f t="shared" si="67"/>
        <v>0.02898550724637672</v>
      </c>
      <c r="N196" s="195">
        <f t="shared" si="67"/>
        <v>0.028169014084507005</v>
      </c>
      <c r="O196" s="195">
        <f t="shared" si="67"/>
        <v>0.027397260273972712</v>
      </c>
      <c r="P196" s="195">
        <f t="shared" si="67"/>
        <v>0.022222222222222143</v>
      </c>
      <c r="Q196" s="195">
        <f t="shared" si="67"/>
        <v>0.02034782608695651</v>
      </c>
      <c r="R196" s="195">
        <f t="shared" si="67"/>
        <v>0.019984659962502205</v>
      </c>
      <c r="S196" s="195">
        <f t="shared" si="67"/>
        <v>0.02001086184567824</v>
      </c>
      <c r="T196" s="195">
        <f t="shared" si="67"/>
        <v>0.019823066841415438</v>
      </c>
    </row>
    <row r="197" spans="2:20" ht="14.25" outlineLevel="2">
      <c r="B197" s="189"/>
      <c r="C197" s="189"/>
      <c r="D197" s="197" t="s">
        <v>393</v>
      </c>
      <c r="E197" s="388" t="s">
        <v>427</v>
      </c>
      <c r="F197" s="234">
        <f aca="true" t="shared" si="68" ref="F197:T197">+IF(F10=0,0,IF(E223&lt;&gt;0,F223/E223-1,0))</f>
        <v>-0.21910402468804246</v>
      </c>
      <c r="G197" s="234">
        <f t="shared" si="68"/>
        <v>4.852236901402965</v>
      </c>
      <c r="H197" s="235">
        <f t="shared" si="68"/>
        <v>-0.17298128914601474</v>
      </c>
      <c r="I197" s="194">
        <f t="shared" si="68"/>
        <v>-0.7704052140101939</v>
      </c>
      <c r="J197" s="195">
        <f t="shared" si="68"/>
        <v>-0.6533159697162044</v>
      </c>
      <c r="K197" s="195">
        <f t="shared" si="68"/>
        <v>0.5981818181818181</v>
      </c>
      <c r="L197" s="195">
        <f t="shared" si="68"/>
        <v>-1</v>
      </c>
      <c r="M197" s="195">
        <f t="shared" si="68"/>
        <v>0</v>
      </c>
      <c r="N197" s="195">
        <f t="shared" si="68"/>
        <v>0</v>
      </c>
      <c r="O197" s="195">
        <f t="shared" si="68"/>
        <v>0</v>
      </c>
      <c r="P197" s="195">
        <f t="shared" si="68"/>
        <v>0</v>
      </c>
      <c r="Q197" s="195">
        <f t="shared" si="68"/>
        <v>0</v>
      </c>
      <c r="R197" s="195">
        <f t="shared" si="68"/>
        <v>0</v>
      </c>
      <c r="S197" s="195">
        <f t="shared" si="68"/>
        <v>0</v>
      </c>
      <c r="T197" s="195">
        <f t="shared" si="68"/>
        <v>0</v>
      </c>
    </row>
    <row r="198" spans="2:20" ht="24" outlineLevel="2">
      <c r="B198" s="189"/>
      <c r="C198" s="189"/>
      <c r="D198" s="197" t="s">
        <v>394</v>
      </c>
      <c r="E198" s="388" t="s">
        <v>427</v>
      </c>
      <c r="F198" s="234">
        <f aca="true" t="shared" si="69" ref="F198:T198">+IF(F10=0,0,IF(E224&lt;&gt;0,F224/E224-1,0))</f>
        <v>-0.2517222577272623</v>
      </c>
      <c r="G198" s="234">
        <f t="shared" si="69"/>
        <v>5.737383886008841</v>
      </c>
      <c r="H198" s="235">
        <f t="shared" si="69"/>
        <v>-0.15337184417021132</v>
      </c>
      <c r="I198" s="194">
        <f t="shared" si="69"/>
        <v>-0.969291511202303</v>
      </c>
      <c r="J198" s="195">
        <f t="shared" si="69"/>
        <v>-1</v>
      </c>
      <c r="K198" s="195">
        <f t="shared" si="69"/>
        <v>0</v>
      </c>
      <c r="L198" s="195">
        <f t="shared" si="69"/>
        <v>-1</v>
      </c>
      <c r="M198" s="195">
        <f t="shared" si="69"/>
        <v>0</v>
      </c>
      <c r="N198" s="195">
        <f t="shared" si="69"/>
        <v>0</v>
      </c>
      <c r="O198" s="195">
        <f t="shared" si="69"/>
        <v>0</v>
      </c>
      <c r="P198" s="195">
        <f t="shared" si="69"/>
        <v>0</v>
      </c>
      <c r="Q198" s="195">
        <f t="shared" si="69"/>
        <v>0</v>
      </c>
      <c r="R198" s="195">
        <f t="shared" si="69"/>
        <v>0</v>
      </c>
      <c r="S198" s="195">
        <f t="shared" si="69"/>
        <v>0</v>
      </c>
      <c r="T198" s="195">
        <f t="shared" si="69"/>
        <v>0</v>
      </c>
    </row>
    <row r="199" spans="2:20" ht="14.25" outlineLevel="2">
      <c r="B199" s="189"/>
      <c r="C199" s="189"/>
      <c r="D199" s="198" t="s">
        <v>36</v>
      </c>
      <c r="E199" s="389" t="s">
        <v>427</v>
      </c>
      <c r="F199" s="236">
        <f aca="true" t="shared" si="70" ref="F199:T199">+IF(F10=0,0,IF(E225&lt;&gt;0,F225/E225-1,0))</f>
        <v>-0.17061260567823067</v>
      </c>
      <c r="G199" s="236">
        <f t="shared" si="70"/>
        <v>3.6650331698338725</v>
      </c>
      <c r="H199" s="237">
        <f t="shared" si="70"/>
        <v>-0.21096625303195427</v>
      </c>
      <c r="I199" s="199">
        <f t="shared" si="70"/>
        <v>-0.35702621662475875</v>
      </c>
      <c r="J199" s="200">
        <f t="shared" si="70"/>
        <v>-0.6189013827643646</v>
      </c>
      <c r="K199" s="200">
        <f t="shared" si="70"/>
        <v>-0.40727272727272723</v>
      </c>
      <c r="L199" s="200">
        <f t="shared" si="70"/>
        <v>-1</v>
      </c>
      <c r="M199" s="200">
        <f t="shared" si="70"/>
        <v>0</v>
      </c>
      <c r="N199" s="200">
        <f t="shared" si="70"/>
        <v>0</v>
      </c>
      <c r="O199" s="200">
        <f t="shared" si="70"/>
        <v>0</v>
      </c>
      <c r="P199" s="200">
        <f t="shared" si="70"/>
        <v>0</v>
      </c>
      <c r="Q199" s="200">
        <f t="shared" si="70"/>
        <v>0</v>
      </c>
      <c r="R199" s="200">
        <f t="shared" si="70"/>
        <v>0</v>
      </c>
      <c r="S199" s="200">
        <f t="shared" si="70"/>
        <v>0</v>
      </c>
      <c r="T199" s="200">
        <f t="shared" si="70"/>
        <v>0</v>
      </c>
    </row>
    <row r="200" spans="2:20" ht="14.25" outlineLevel="2">
      <c r="B200" s="272"/>
      <c r="C200" s="272"/>
      <c r="D200" s="190" t="s">
        <v>21</v>
      </c>
      <c r="E200" s="386" t="s">
        <v>427</v>
      </c>
      <c r="F200" s="191">
        <f aca="true" t="shared" si="71" ref="F200:T200">+IF(F10=0,0,IF(E226&lt;&gt;0,F226/E226-1,0))</f>
        <v>-0.014576032140525386</v>
      </c>
      <c r="G200" s="191">
        <f t="shared" si="71"/>
        <v>0.028586821132745133</v>
      </c>
      <c r="H200" s="192">
        <f t="shared" si="71"/>
        <v>-0.08262944237705694</v>
      </c>
      <c r="I200" s="273">
        <f t="shared" si="71"/>
        <v>0.05584892403129049</v>
      </c>
      <c r="J200" s="274">
        <f t="shared" si="71"/>
        <v>-0.08632267492175716</v>
      </c>
      <c r="K200" s="274">
        <f t="shared" si="71"/>
        <v>0.0398664951468608</v>
      </c>
      <c r="L200" s="274">
        <f t="shared" si="71"/>
        <v>-0.03980108677690064</v>
      </c>
      <c r="M200" s="274">
        <f t="shared" si="71"/>
        <v>0.03032621147528669</v>
      </c>
      <c r="N200" s="274">
        <f t="shared" si="71"/>
        <v>0.03186776071364705</v>
      </c>
      <c r="O200" s="274">
        <f t="shared" si="71"/>
        <v>0.032801563717866244</v>
      </c>
      <c r="P200" s="274">
        <f t="shared" si="71"/>
        <v>0.03194557431583189</v>
      </c>
      <c r="Q200" s="274">
        <f t="shared" si="71"/>
        <v>0.014840455733579061</v>
      </c>
      <c r="R200" s="274">
        <f t="shared" si="71"/>
        <v>0.020614343477773467</v>
      </c>
      <c r="S200" s="274">
        <f t="shared" si="71"/>
        <v>0.022669966501937644</v>
      </c>
      <c r="T200" s="274">
        <f t="shared" si="71"/>
        <v>0.029440109381788426</v>
      </c>
    </row>
    <row r="201" spans="2:20" ht="14.25" outlineLevel="2">
      <c r="B201" s="189"/>
      <c r="C201" s="189"/>
      <c r="D201" s="202" t="s">
        <v>390</v>
      </c>
      <c r="E201" s="388" t="s">
        <v>427</v>
      </c>
      <c r="F201" s="234">
        <f aca="true" t="shared" si="72" ref="F201:T201">+IF(F10=0,0,IF(E227&lt;&gt;0,F227/E227-1,0))</f>
        <v>-0.014576032140525386</v>
      </c>
      <c r="G201" s="234">
        <f t="shared" si="72"/>
        <v>0.028586821132745133</v>
      </c>
      <c r="H201" s="235">
        <f t="shared" si="72"/>
        <v>-0.08262944237705694</v>
      </c>
      <c r="I201" s="194">
        <f t="shared" si="72"/>
        <v>0.04788749507552681</v>
      </c>
      <c r="J201" s="195">
        <f t="shared" si="72"/>
        <v>-0.07938092101564886</v>
      </c>
      <c r="K201" s="195">
        <f t="shared" si="72"/>
        <v>0.0398664951468608</v>
      </c>
      <c r="L201" s="195">
        <f t="shared" si="72"/>
        <v>-0.03980108677690064</v>
      </c>
      <c r="M201" s="195">
        <f t="shared" si="72"/>
        <v>0.03032621147528669</v>
      </c>
      <c r="N201" s="195">
        <f t="shared" si="72"/>
        <v>0.03186776071364705</v>
      </c>
      <c r="O201" s="195">
        <f t="shared" si="72"/>
        <v>0.032801563717866244</v>
      </c>
      <c r="P201" s="195">
        <f t="shared" si="72"/>
        <v>0.03194557431583189</v>
      </c>
      <c r="Q201" s="195">
        <f t="shared" si="72"/>
        <v>0.014840455733579061</v>
      </c>
      <c r="R201" s="195">
        <f t="shared" si="72"/>
        <v>0.020614343477773467</v>
      </c>
      <c r="S201" s="195">
        <f t="shared" si="72"/>
        <v>0.022669966501937644</v>
      </c>
      <c r="T201" s="195">
        <f t="shared" si="72"/>
        <v>0.029440109381788426</v>
      </c>
    </row>
    <row r="202" spans="2:20" ht="14.25" outlineLevel="2">
      <c r="B202" s="272"/>
      <c r="C202" s="272"/>
      <c r="D202" s="203" t="s">
        <v>37</v>
      </c>
      <c r="E202" s="390" t="s">
        <v>427</v>
      </c>
      <c r="F202" s="238">
        <f aca="true" t="shared" si="73" ref="F202:T202">+IF(F10=0,0,IF(E228&lt;&gt;0,F228/E228-1,0))</f>
        <v>0.04490652969613551</v>
      </c>
      <c r="G202" s="238">
        <f t="shared" si="73"/>
        <v>0.16237486958894465</v>
      </c>
      <c r="H202" s="239">
        <f t="shared" si="73"/>
        <v>-0.04439953150212339</v>
      </c>
      <c r="I202" s="277">
        <f t="shared" si="73"/>
        <v>0.1359252132285511</v>
      </c>
      <c r="J202" s="278">
        <f t="shared" si="73"/>
        <v>-0.02713778623534846</v>
      </c>
      <c r="K202" s="278">
        <f t="shared" si="73"/>
        <v>0.013273230504648792</v>
      </c>
      <c r="L202" s="278">
        <f t="shared" si="73"/>
        <v>0.01840593296639037</v>
      </c>
      <c r="M202" s="278">
        <f t="shared" si="73"/>
        <v>0.017134524243529015</v>
      </c>
      <c r="N202" s="278">
        <f t="shared" si="73"/>
        <v>0.018125960061443847</v>
      </c>
      <c r="O202" s="278">
        <f t="shared" si="73"/>
        <v>0.0182558841279421</v>
      </c>
      <c r="P202" s="278">
        <f t="shared" si="73"/>
        <v>0.01743468168123674</v>
      </c>
      <c r="Q202" s="278">
        <f t="shared" si="73"/>
        <v>0.008689320388349575</v>
      </c>
      <c r="R202" s="278">
        <f t="shared" si="73"/>
        <v>0.008421964483372735</v>
      </c>
      <c r="S202" s="278">
        <f t="shared" si="73"/>
        <v>0.008685692469218242</v>
      </c>
      <c r="T202" s="278">
        <f t="shared" si="73"/>
        <v>0.008989401968205968</v>
      </c>
    </row>
    <row r="203" spans="2:20" ht="14.25" outlineLevel="2">
      <c r="B203" s="189"/>
      <c r="C203" s="189"/>
      <c r="D203" s="197" t="s">
        <v>39</v>
      </c>
      <c r="E203" s="388" t="s">
        <v>427</v>
      </c>
      <c r="F203" s="234">
        <f aca="true" t="shared" si="74" ref="F203:T203">+IF(F10=0,0,IF(E229&lt;&gt;0,F229/E229-1,0))</f>
        <v>0.04490652969613551</v>
      </c>
      <c r="G203" s="234">
        <f t="shared" si="74"/>
        <v>0.16237486958894465</v>
      </c>
      <c r="H203" s="235">
        <f t="shared" si="74"/>
        <v>-0.04439953150212339</v>
      </c>
      <c r="I203" s="194">
        <f t="shared" si="74"/>
        <v>0.1318639317885295</v>
      </c>
      <c r="J203" s="195">
        <f t="shared" si="74"/>
        <v>-0.023647024544393935</v>
      </c>
      <c r="K203" s="195">
        <f t="shared" si="74"/>
        <v>0.013273230504648792</v>
      </c>
      <c r="L203" s="195">
        <f t="shared" si="74"/>
        <v>0.01840593296639037</v>
      </c>
      <c r="M203" s="195">
        <f t="shared" si="74"/>
        <v>0.017134524243529015</v>
      </c>
      <c r="N203" s="195">
        <f t="shared" si="74"/>
        <v>0.018125960061443847</v>
      </c>
      <c r="O203" s="195">
        <f t="shared" si="74"/>
        <v>0.0182558841279421</v>
      </c>
      <c r="P203" s="195">
        <f t="shared" si="74"/>
        <v>0.01743468168123674</v>
      </c>
      <c r="Q203" s="195">
        <f t="shared" si="74"/>
        <v>0.008689320388349575</v>
      </c>
      <c r="R203" s="195">
        <f t="shared" si="74"/>
        <v>0.008421964483372735</v>
      </c>
      <c r="S203" s="195">
        <f t="shared" si="74"/>
        <v>0.008685692469218242</v>
      </c>
      <c r="T203" s="195">
        <f t="shared" si="74"/>
        <v>0.008989401968205968</v>
      </c>
    </row>
    <row r="204" spans="2:20" ht="14.25" outlineLevel="2">
      <c r="B204" s="189"/>
      <c r="C204" s="189"/>
      <c r="D204" s="197" t="s">
        <v>38</v>
      </c>
      <c r="E204" s="388" t="s">
        <v>427</v>
      </c>
      <c r="F204" s="234">
        <f aca="true" t="shared" si="75" ref="F204:T204">+IF(F10=0,0,IF(E230&lt;&gt;0,F230/E230-1,0))</f>
        <v>0.0847457627118644</v>
      </c>
      <c r="G204" s="234">
        <f t="shared" si="75"/>
        <v>0.08161298750000001</v>
      </c>
      <c r="H204" s="235">
        <f t="shared" si="75"/>
        <v>-1</v>
      </c>
      <c r="I204" s="194">
        <f t="shared" si="75"/>
        <v>0</v>
      </c>
      <c r="J204" s="195">
        <f t="shared" si="75"/>
        <v>0.021094638391953024</v>
      </c>
      <c r="K204" s="195">
        <f t="shared" si="75"/>
        <v>0.020099224017300577</v>
      </c>
      <c r="L204" s="195">
        <f t="shared" si="75"/>
        <v>0.019952612545205195</v>
      </c>
      <c r="M204" s="195">
        <f t="shared" si="75"/>
        <v>-1</v>
      </c>
      <c r="N204" s="195">
        <f t="shared" si="75"/>
        <v>0</v>
      </c>
      <c r="O204" s="195">
        <f t="shared" si="75"/>
        <v>0</v>
      </c>
      <c r="P204" s="195">
        <f t="shared" si="75"/>
        <v>0</v>
      </c>
      <c r="Q204" s="195">
        <f t="shared" si="75"/>
        <v>0</v>
      </c>
      <c r="R204" s="195">
        <f t="shared" si="75"/>
        <v>0</v>
      </c>
      <c r="S204" s="195">
        <f t="shared" si="75"/>
        <v>0</v>
      </c>
      <c r="T204" s="195">
        <f t="shared" si="75"/>
        <v>0</v>
      </c>
    </row>
    <row r="205" spans="2:20" ht="24" outlineLevel="2">
      <c r="B205" s="189"/>
      <c r="C205" s="189"/>
      <c r="D205" s="198" t="s">
        <v>389</v>
      </c>
      <c r="E205" s="391" t="s">
        <v>427</v>
      </c>
      <c r="F205" s="240">
        <f aca="true" t="shared" si="76" ref="F205:T205">+IF(F10=0,0,IF(E231&lt;&gt;0,F231/E231-1,0))</f>
        <v>0.006303284705989176</v>
      </c>
      <c r="G205" s="240">
        <f t="shared" si="76"/>
        <v>0.2217221468613908</v>
      </c>
      <c r="H205" s="241">
        <f t="shared" si="76"/>
        <v>0.4525824264629317</v>
      </c>
      <c r="I205" s="204">
        <f t="shared" si="76"/>
        <v>-0.3729280638564648</v>
      </c>
      <c r="J205" s="205">
        <f t="shared" si="76"/>
        <v>-0.07192675948545713</v>
      </c>
      <c r="K205" s="205">
        <f t="shared" si="76"/>
        <v>0.016274270433670468</v>
      </c>
      <c r="L205" s="205">
        <f t="shared" si="76"/>
        <v>0.018536261687054356</v>
      </c>
      <c r="M205" s="205">
        <f t="shared" si="76"/>
        <v>1.1616309109289005</v>
      </c>
      <c r="N205" s="205">
        <f t="shared" si="76"/>
        <v>0.020524811639386797</v>
      </c>
      <c r="O205" s="205">
        <f t="shared" si="76"/>
        <v>0.02062118126272905</v>
      </c>
      <c r="P205" s="205">
        <f t="shared" si="76"/>
        <v>0.019555999002244917</v>
      </c>
      <c r="Q205" s="205">
        <f t="shared" si="76"/>
        <v>0.010373342467093982</v>
      </c>
      <c r="R205" s="205">
        <f t="shared" si="76"/>
        <v>0.010412126495229712</v>
      </c>
      <c r="S205" s="205">
        <f t="shared" si="76"/>
        <v>0.010592407975460016</v>
      </c>
      <c r="T205" s="205">
        <f t="shared" si="76"/>
        <v>0.0105762390324875</v>
      </c>
    </row>
    <row r="206" spans="2:20" ht="24" outlineLevel="1">
      <c r="B206" s="189"/>
      <c r="C206" s="189"/>
      <c r="D206" s="303" t="s">
        <v>440</v>
      </c>
      <c r="E206" s="207"/>
      <c r="F206" s="207"/>
      <c r="G206" s="416" t="s">
        <v>478</v>
      </c>
      <c r="H206" s="416" t="s">
        <v>477</v>
      </c>
      <c r="I206" s="208"/>
      <c r="J206" s="208"/>
      <c r="K206" s="208"/>
      <c r="L206" s="208"/>
      <c r="M206" s="208"/>
      <c r="N206" s="208"/>
      <c r="O206" s="208"/>
      <c r="P206" s="208"/>
      <c r="Q206" s="208"/>
      <c r="R206" s="208"/>
      <c r="S206" s="208"/>
      <c r="T206" s="208"/>
    </row>
    <row r="207" spans="2:20" ht="14.25" outlineLevel="2">
      <c r="B207" s="272"/>
      <c r="C207" s="272"/>
      <c r="D207" s="190" t="s">
        <v>26</v>
      </c>
      <c r="E207" s="392" t="s">
        <v>427</v>
      </c>
      <c r="F207" s="259">
        <f aca="true" t="shared" si="77" ref="F207:F212">+IF(F$220=0,"",F220-E220)</f>
        <v>1643935.629999999</v>
      </c>
      <c r="G207" s="259">
        <f aca="true" t="shared" si="78" ref="G207:G212">+IF(G$220=0,"",G220-F220)</f>
        <v>6659508.93</v>
      </c>
      <c r="H207" s="260">
        <f aca="true" t="shared" si="79" ref="H207:H212">+IF(H$220=0,"",H220-G220)</f>
        <v>-1353200.4200000018</v>
      </c>
      <c r="I207" s="280">
        <f aca="true" t="shared" si="80" ref="I207:T207">+IF(I$220=0,"",I220-H220)</f>
        <v>-2618978.2399999984</v>
      </c>
      <c r="J207" s="281">
        <f t="shared" si="80"/>
        <v>-2175311.34</v>
      </c>
      <c r="K207" s="281">
        <f t="shared" si="80"/>
        <v>1128955</v>
      </c>
      <c r="L207" s="281">
        <f t="shared" si="80"/>
        <v>-279000</v>
      </c>
      <c r="M207" s="281">
        <f t="shared" si="80"/>
        <v>600000</v>
      </c>
      <c r="N207" s="281">
        <f t="shared" si="80"/>
        <v>600000</v>
      </c>
      <c r="O207" s="281">
        <f t="shared" si="80"/>
        <v>600000</v>
      </c>
      <c r="P207" s="281">
        <f t="shared" si="80"/>
        <v>500000</v>
      </c>
      <c r="Q207" s="281">
        <f t="shared" si="80"/>
        <v>468000</v>
      </c>
      <c r="R207" s="281">
        <f t="shared" si="80"/>
        <v>469000</v>
      </c>
      <c r="S207" s="281">
        <f t="shared" si="80"/>
        <v>479000</v>
      </c>
      <c r="T207" s="281">
        <f t="shared" si="80"/>
        <v>484000</v>
      </c>
    </row>
    <row r="208" spans="2:20" ht="14.25" outlineLevel="2">
      <c r="B208" s="189"/>
      <c r="C208" s="189"/>
      <c r="D208" s="193" t="s">
        <v>391</v>
      </c>
      <c r="E208" s="393" t="s">
        <v>427</v>
      </c>
      <c r="F208" s="264">
        <f t="shared" si="77"/>
        <v>1643935.629999999</v>
      </c>
      <c r="G208" s="264">
        <f t="shared" si="78"/>
        <v>6659508.93</v>
      </c>
      <c r="H208" s="265">
        <f t="shared" si="79"/>
        <v>-1353200.4200000018</v>
      </c>
      <c r="I208" s="212">
        <f aca="true" t="shared" si="81" ref="I208:T208">+IF(I$220=0,"",I221-H221)</f>
        <v>-3939660.5599999987</v>
      </c>
      <c r="J208" s="213">
        <f t="shared" si="81"/>
        <v>-854629.0199999996</v>
      </c>
      <c r="K208" s="213">
        <f t="shared" si="81"/>
        <v>1128955</v>
      </c>
      <c r="L208" s="213">
        <f t="shared" si="81"/>
        <v>-279000</v>
      </c>
      <c r="M208" s="213">
        <f t="shared" si="81"/>
        <v>600000</v>
      </c>
      <c r="N208" s="213">
        <f t="shared" si="81"/>
        <v>600000</v>
      </c>
      <c r="O208" s="213">
        <f t="shared" si="81"/>
        <v>600000</v>
      </c>
      <c r="P208" s="213">
        <f t="shared" si="81"/>
        <v>500000</v>
      </c>
      <c r="Q208" s="213">
        <f t="shared" si="81"/>
        <v>468000</v>
      </c>
      <c r="R208" s="213">
        <f t="shared" si="81"/>
        <v>469000</v>
      </c>
      <c r="S208" s="213">
        <f t="shared" si="81"/>
        <v>479000</v>
      </c>
      <c r="T208" s="213">
        <f t="shared" si="81"/>
        <v>484000</v>
      </c>
    </row>
    <row r="209" spans="2:20" ht="14.25" outlineLevel="2">
      <c r="B209" s="189"/>
      <c r="C209" s="189"/>
      <c r="D209" s="197" t="s">
        <v>392</v>
      </c>
      <c r="E209" s="394" t="s">
        <v>427</v>
      </c>
      <c r="F209" s="266">
        <f t="shared" si="77"/>
        <v>2044513.33</v>
      </c>
      <c r="G209" s="266">
        <f t="shared" si="78"/>
        <v>-267912.26999999955</v>
      </c>
      <c r="H209" s="267">
        <f t="shared" si="79"/>
        <v>92075.03000000119</v>
      </c>
      <c r="I209" s="212">
        <f aca="true" t="shared" si="82" ref="I209:T209">+IF(I$220=0,"",I222-H222)</f>
        <v>1383701.9899999984</v>
      </c>
      <c r="J209" s="213">
        <f t="shared" si="82"/>
        <v>181829.98000000045</v>
      </c>
      <c r="K209" s="213">
        <f t="shared" si="82"/>
        <v>799955</v>
      </c>
      <c r="L209" s="213">
        <f t="shared" si="82"/>
        <v>600000</v>
      </c>
      <c r="M209" s="213">
        <f t="shared" si="82"/>
        <v>600000</v>
      </c>
      <c r="N209" s="213">
        <f t="shared" si="82"/>
        <v>600000</v>
      </c>
      <c r="O209" s="213">
        <f t="shared" si="82"/>
        <v>600000</v>
      </c>
      <c r="P209" s="213">
        <f t="shared" si="82"/>
        <v>500000</v>
      </c>
      <c r="Q209" s="213">
        <f t="shared" si="82"/>
        <v>468000</v>
      </c>
      <c r="R209" s="213">
        <f t="shared" si="82"/>
        <v>469000</v>
      </c>
      <c r="S209" s="213">
        <f t="shared" si="82"/>
        <v>479000</v>
      </c>
      <c r="T209" s="213">
        <f t="shared" si="82"/>
        <v>484000</v>
      </c>
    </row>
    <row r="210" spans="2:20" ht="14.25" outlineLevel="2">
      <c r="B210" s="189"/>
      <c r="C210" s="189"/>
      <c r="D210" s="197" t="s">
        <v>393</v>
      </c>
      <c r="E210" s="394" t="s">
        <v>427</v>
      </c>
      <c r="F210" s="266">
        <f t="shared" si="77"/>
        <v>-400577.69999999995</v>
      </c>
      <c r="G210" s="266">
        <f t="shared" si="78"/>
        <v>6927421.2</v>
      </c>
      <c r="H210" s="267">
        <f t="shared" si="79"/>
        <v>-1445275.4500000002</v>
      </c>
      <c r="I210" s="212">
        <f aca="true" t="shared" si="83" ref="I210:T210">+IF(I$220=0,"",I223-H223)</f>
        <v>-5323362.55</v>
      </c>
      <c r="J210" s="213">
        <f t="shared" si="83"/>
        <v>-1036459</v>
      </c>
      <c r="K210" s="213">
        <f t="shared" si="83"/>
        <v>329000</v>
      </c>
      <c r="L210" s="213">
        <f t="shared" si="83"/>
        <v>-879000</v>
      </c>
      <c r="M210" s="213">
        <f t="shared" si="83"/>
        <v>0</v>
      </c>
      <c r="N210" s="213">
        <f t="shared" si="83"/>
        <v>0</v>
      </c>
      <c r="O210" s="213">
        <f t="shared" si="83"/>
        <v>0</v>
      </c>
      <c r="P210" s="213">
        <f t="shared" si="83"/>
        <v>0</v>
      </c>
      <c r="Q210" s="213">
        <f t="shared" si="83"/>
        <v>0</v>
      </c>
      <c r="R210" s="213">
        <f t="shared" si="83"/>
        <v>0</v>
      </c>
      <c r="S210" s="213">
        <f t="shared" si="83"/>
        <v>0</v>
      </c>
      <c r="T210" s="213">
        <f t="shared" si="83"/>
        <v>0</v>
      </c>
    </row>
    <row r="211" spans="2:20" ht="24" outlineLevel="2">
      <c r="B211" s="189"/>
      <c r="C211" s="189"/>
      <c r="D211" s="197" t="s">
        <v>394</v>
      </c>
      <c r="E211" s="394" t="s">
        <v>427</v>
      </c>
      <c r="F211" s="266">
        <f t="shared" si="77"/>
        <v>-275137.8800000001</v>
      </c>
      <c r="G211" s="266">
        <f t="shared" si="78"/>
        <v>4692513.22</v>
      </c>
      <c r="H211" s="267">
        <f t="shared" si="79"/>
        <v>-845139.75</v>
      </c>
      <c r="I211" s="212">
        <f aca="true" t="shared" si="84" ref="I211:T211">+IF(I$220=0,"",I224-H224)</f>
        <v>-4521994.25</v>
      </c>
      <c r="J211" s="213">
        <f t="shared" si="84"/>
        <v>-143263</v>
      </c>
      <c r="K211" s="213">
        <f t="shared" si="84"/>
        <v>553000</v>
      </c>
      <c r="L211" s="213">
        <f t="shared" si="84"/>
        <v>-553000</v>
      </c>
      <c r="M211" s="213">
        <f t="shared" si="84"/>
        <v>0</v>
      </c>
      <c r="N211" s="213">
        <f t="shared" si="84"/>
        <v>0</v>
      </c>
      <c r="O211" s="213">
        <f t="shared" si="84"/>
        <v>0</v>
      </c>
      <c r="P211" s="213">
        <f t="shared" si="84"/>
        <v>0</v>
      </c>
      <c r="Q211" s="213">
        <f t="shared" si="84"/>
        <v>0</v>
      </c>
      <c r="R211" s="213">
        <f t="shared" si="84"/>
        <v>0</v>
      </c>
      <c r="S211" s="213">
        <f t="shared" si="84"/>
        <v>0</v>
      </c>
      <c r="T211" s="213">
        <f t="shared" si="84"/>
        <v>0</v>
      </c>
    </row>
    <row r="212" spans="2:20" ht="14.25" outlineLevel="2">
      <c r="B212" s="189"/>
      <c r="C212" s="189"/>
      <c r="D212" s="198" t="s">
        <v>36</v>
      </c>
      <c r="E212" s="395" t="s">
        <v>427</v>
      </c>
      <c r="F212" s="268">
        <f t="shared" si="77"/>
        <v>-125439.81999999995</v>
      </c>
      <c r="G212" s="268">
        <f t="shared" si="78"/>
        <v>2234907.98</v>
      </c>
      <c r="H212" s="269">
        <f t="shared" si="79"/>
        <v>-600135.7000000002</v>
      </c>
      <c r="I212" s="215">
        <f aca="true" t="shared" si="85" ref="I212:T212">+IF(I$220=0,"",I225-H225)</f>
        <v>-801368.2999999998</v>
      </c>
      <c r="J212" s="216">
        <f t="shared" si="85"/>
        <v>-893196</v>
      </c>
      <c r="K212" s="216">
        <f t="shared" si="85"/>
        <v>-224000</v>
      </c>
      <c r="L212" s="216">
        <f t="shared" si="85"/>
        <v>-326000</v>
      </c>
      <c r="M212" s="216">
        <f t="shared" si="85"/>
        <v>0</v>
      </c>
      <c r="N212" s="216">
        <f t="shared" si="85"/>
        <v>0</v>
      </c>
      <c r="O212" s="216">
        <f t="shared" si="85"/>
        <v>0</v>
      </c>
      <c r="P212" s="216">
        <f t="shared" si="85"/>
        <v>0</v>
      </c>
      <c r="Q212" s="216">
        <f t="shared" si="85"/>
        <v>0</v>
      </c>
      <c r="R212" s="216">
        <f t="shared" si="85"/>
        <v>0</v>
      </c>
      <c r="S212" s="216">
        <f t="shared" si="85"/>
        <v>0</v>
      </c>
      <c r="T212" s="216">
        <f t="shared" si="85"/>
        <v>0</v>
      </c>
    </row>
    <row r="213" spans="2:20" ht="14.25" outlineLevel="2">
      <c r="B213" s="272"/>
      <c r="C213" s="272"/>
      <c r="D213" s="190" t="s">
        <v>21</v>
      </c>
      <c r="E213" s="392" t="s">
        <v>427</v>
      </c>
      <c r="F213" s="259">
        <f aca="true" t="shared" si="86" ref="F213:F218">+IF(F$226=0,"",F226-E226)</f>
        <v>-321980.8999999985</v>
      </c>
      <c r="G213" s="259">
        <f aca="true" t="shared" si="87" ref="G213:G218">+IF(G$226=0,"",G226-F226)</f>
        <v>622271.3099999987</v>
      </c>
      <c r="H213" s="260">
        <f aca="true" t="shared" si="88" ref="H213:H218">+IF(H$226=0,"",H226-G226)</f>
        <v>-1850076.5199999996</v>
      </c>
      <c r="I213" s="280">
        <f aca="true" t="shared" si="89" ref="I213:I218">+IF(I$226=0,"",I226-H226)</f>
        <v>1147134.8599999994</v>
      </c>
      <c r="J213" s="281">
        <f aca="true" t="shared" si="90" ref="J213:T218">+IF(J$226=0,"",J226-I226)</f>
        <v>-1872088.3399999999</v>
      </c>
      <c r="K213" s="281">
        <f t="shared" si="90"/>
        <v>789955</v>
      </c>
      <c r="L213" s="281">
        <f t="shared" si="90"/>
        <v>-820100</v>
      </c>
      <c r="M213" s="281">
        <f t="shared" si="90"/>
        <v>600000</v>
      </c>
      <c r="N213" s="281">
        <f t="shared" si="90"/>
        <v>649620</v>
      </c>
      <c r="O213" s="281">
        <f t="shared" si="90"/>
        <v>689964</v>
      </c>
      <c r="P213" s="281">
        <f t="shared" si="90"/>
        <v>694000</v>
      </c>
      <c r="Q213" s="281">
        <f t="shared" si="90"/>
        <v>332700</v>
      </c>
      <c r="R213" s="281">
        <f t="shared" si="90"/>
        <v>469000</v>
      </c>
      <c r="S213" s="281">
        <f t="shared" si="90"/>
        <v>526400</v>
      </c>
      <c r="T213" s="281">
        <f t="shared" si="90"/>
        <v>699101</v>
      </c>
    </row>
    <row r="214" spans="2:20" ht="14.25" outlineLevel="2">
      <c r="B214" s="189"/>
      <c r="C214" s="189"/>
      <c r="D214" s="202" t="s">
        <v>390</v>
      </c>
      <c r="E214" s="394" t="s">
        <v>427</v>
      </c>
      <c r="F214" s="266">
        <f t="shared" si="86"/>
        <v>-321980.8999999985</v>
      </c>
      <c r="G214" s="266">
        <f t="shared" si="87"/>
        <v>622271.3099999987</v>
      </c>
      <c r="H214" s="267">
        <f t="shared" si="88"/>
        <v>-1850076.5199999996</v>
      </c>
      <c r="I214" s="212">
        <f t="shared" si="89"/>
        <v>983607.3999999985</v>
      </c>
      <c r="J214" s="213">
        <f aca="true" t="shared" si="91" ref="J214:T214">+IF(J$226=0,"",J227-I227)</f>
        <v>-1708560.879999999</v>
      </c>
      <c r="K214" s="213">
        <f t="shared" si="91"/>
        <v>789955</v>
      </c>
      <c r="L214" s="213">
        <f t="shared" si="91"/>
        <v>-820100</v>
      </c>
      <c r="M214" s="213">
        <f t="shared" si="91"/>
        <v>600000</v>
      </c>
      <c r="N214" s="213">
        <f t="shared" si="91"/>
        <v>649620</v>
      </c>
      <c r="O214" s="213">
        <f t="shared" si="91"/>
        <v>689964</v>
      </c>
      <c r="P214" s="213">
        <f t="shared" si="91"/>
        <v>694000</v>
      </c>
      <c r="Q214" s="213">
        <f t="shared" si="91"/>
        <v>332700</v>
      </c>
      <c r="R214" s="213">
        <f t="shared" si="91"/>
        <v>469000</v>
      </c>
      <c r="S214" s="213">
        <f t="shared" si="91"/>
        <v>526400</v>
      </c>
      <c r="T214" s="213">
        <f t="shared" si="91"/>
        <v>699101</v>
      </c>
    </row>
    <row r="215" spans="2:20" ht="14.25" outlineLevel="2">
      <c r="B215" s="272"/>
      <c r="C215" s="272"/>
      <c r="D215" s="203" t="s">
        <v>37</v>
      </c>
      <c r="E215" s="396" t="s">
        <v>427</v>
      </c>
      <c r="F215" s="270">
        <f t="shared" si="86"/>
        <v>651455.5199999996</v>
      </c>
      <c r="G215" s="270">
        <f t="shared" si="87"/>
        <v>2461339.5600000005</v>
      </c>
      <c r="H215" s="271">
        <f t="shared" si="88"/>
        <v>-782307.1799999997</v>
      </c>
      <c r="I215" s="283">
        <f t="shared" si="89"/>
        <v>2288628.5199999996</v>
      </c>
      <c r="J215" s="284">
        <f t="shared" si="90"/>
        <v>-519038.33999999985</v>
      </c>
      <c r="K215" s="284">
        <f t="shared" si="90"/>
        <v>246975</v>
      </c>
      <c r="L215" s="284">
        <f t="shared" si="90"/>
        <v>347025</v>
      </c>
      <c r="M215" s="284">
        <f t="shared" si="90"/>
        <v>329000</v>
      </c>
      <c r="N215" s="284">
        <f t="shared" si="90"/>
        <v>354000</v>
      </c>
      <c r="O215" s="284">
        <f t="shared" si="90"/>
        <v>363000</v>
      </c>
      <c r="P215" s="284">
        <f t="shared" si="90"/>
        <v>353000</v>
      </c>
      <c r="Q215" s="284">
        <f t="shared" si="90"/>
        <v>179000</v>
      </c>
      <c r="R215" s="284">
        <f t="shared" si="90"/>
        <v>175000</v>
      </c>
      <c r="S215" s="284">
        <f t="shared" si="90"/>
        <v>182000</v>
      </c>
      <c r="T215" s="284">
        <f t="shared" si="90"/>
        <v>190000</v>
      </c>
    </row>
    <row r="216" spans="2:20" ht="14.25" outlineLevel="2">
      <c r="B216" s="189"/>
      <c r="C216" s="189"/>
      <c r="D216" s="197" t="s">
        <v>39</v>
      </c>
      <c r="E216" s="394" t="s">
        <v>427</v>
      </c>
      <c r="F216" s="266">
        <f t="shared" si="86"/>
        <v>651455.5199999996</v>
      </c>
      <c r="G216" s="266">
        <f t="shared" si="87"/>
        <v>2461339.5600000005</v>
      </c>
      <c r="H216" s="267">
        <f t="shared" si="88"/>
        <v>-782307.1799999997</v>
      </c>
      <c r="I216" s="212">
        <f t="shared" si="89"/>
        <v>2220247.0599999987</v>
      </c>
      <c r="J216" s="213">
        <f t="shared" si="90"/>
        <v>-450656.87999999896</v>
      </c>
      <c r="K216" s="213">
        <f t="shared" si="90"/>
        <v>246975</v>
      </c>
      <c r="L216" s="213">
        <f t="shared" si="90"/>
        <v>347025</v>
      </c>
      <c r="M216" s="213">
        <f t="shared" si="90"/>
        <v>329000</v>
      </c>
      <c r="N216" s="213">
        <f t="shared" si="90"/>
        <v>354000</v>
      </c>
      <c r="O216" s="213">
        <f t="shared" si="90"/>
        <v>363000</v>
      </c>
      <c r="P216" s="213">
        <f t="shared" si="90"/>
        <v>353000</v>
      </c>
      <c r="Q216" s="213">
        <f t="shared" si="90"/>
        <v>179000</v>
      </c>
      <c r="R216" s="213">
        <f t="shared" si="90"/>
        <v>175000</v>
      </c>
      <c r="S216" s="213">
        <f t="shared" si="90"/>
        <v>182000</v>
      </c>
      <c r="T216" s="213">
        <f t="shared" si="90"/>
        <v>190000</v>
      </c>
    </row>
    <row r="217" spans="2:20" ht="14.25" outlineLevel="2">
      <c r="B217" s="189"/>
      <c r="C217" s="189"/>
      <c r="D217" s="197" t="s">
        <v>38</v>
      </c>
      <c r="E217" s="394" t="s">
        <v>427</v>
      </c>
      <c r="F217" s="266">
        <f t="shared" si="86"/>
        <v>500000</v>
      </c>
      <c r="G217" s="266">
        <f t="shared" si="87"/>
        <v>522323.1200000001</v>
      </c>
      <c r="H217" s="267">
        <f t="shared" si="88"/>
        <v>-6922323.12</v>
      </c>
      <c r="I217" s="212">
        <f t="shared" si="89"/>
        <v>7698600.8</v>
      </c>
      <c r="J217" s="213">
        <f t="shared" si="90"/>
        <v>162399.2000000002</v>
      </c>
      <c r="K217" s="213">
        <f t="shared" si="90"/>
        <v>158000</v>
      </c>
      <c r="L217" s="213">
        <f t="shared" si="90"/>
        <v>160000</v>
      </c>
      <c r="M217" s="213">
        <f t="shared" si="90"/>
        <v>-8179000</v>
      </c>
      <c r="N217" s="213">
        <f t="shared" si="90"/>
        <v>0</v>
      </c>
      <c r="O217" s="213">
        <f t="shared" si="90"/>
        <v>0</v>
      </c>
      <c r="P217" s="213">
        <f t="shared" si="90"/>
        <v>0</v>
      </c>
      <c r="Q217" s="213">
        <f t="shared" si="90"/>
        <v>0</v>
      </c>
      <c r="R217" s="213">
        <f t="shared" si="90"/>
        <v>0</v>
      </c>
      <c r="S217" s="213">
        <f t="shared" si="90"/>
        <v>0</v>
      </c>
      <c r="T217" s="213">
        <f t="shared" si="90"/>
        <v>0</v>
      </c>
    </row>
    <row r="218" spans="2:20" ht="24" outlineLevel="2">
      <c r="B218" s="189"/>
      <c r="C218" s="189"/>
      <c r="D218" s="198" t="s">
        <v>389</v>
      </c>
      <c r="E218" s="395" t="s">
        <v>427</v>
      </c>
      <c r="F218" s="268">
        <f t="shared" si="86"/>
        <v>52164.38999999873</v>
      </c>
      <c r="G218" s="268">
        <f t="shared" si="87"/>
        <v>1846482.4100000001</v>
      </c>
      <c r="H218" s="269">
        <f t="shared" si="88"/>
        <v>4604751.870000001</v>
      </c>
      <c r="I218" s="215">
        <f t="shared" si="89"/>
        <v>-5511558.210000001</v>
      </c>
      <c r="J218" s="216">
        <f t="shared" si="90"/>
        <v>-666587.5399999991</v>
      </c>
      <c r="K218" s="216">
        <f t="shared" si="90"/>
        <v>139975</v>
      </c>
      <c r="L218" s="216">
        <f t="shared" si="90"/>
        <v>162025</v>
      </c>
      <c r="M218" s="216">
        <f t="shared" si="90"/>
        <v>10342000</v>
      </c>
      <c r="N218" s="216">
        <f t="shared" si="90"/>
        <v>395000</v>
      </c>
      <c r="O218" s="216">
        <f t="shared" si="90"/>
        <v>405000</v>
      </c>
      <c r="P218" s="216">
        <f t="shared" si="90"/>
        <v>392000</v>
      </c>
      <c r="Q218" s="216">
        <f t="shared" si="90"/>
        <v>212000</v>
      </c>
      <c r="R218" s="216">
        <f t="shared" si="90"/>
        <v>215000</v>
      </c>
      <c r="S218" s="216">
        <f t="shared" si="90"/>
        <v>221000</v>
      </c>
      <c r="T218" s="216">
        <f t="shared" si="90"/>
        <v>223000</v>
      </c>
    </row>
    <row r="219" spans="2:20" ht="14.25" outlineLevel="1">
      <c r="B219" s="189"/>
      <c r="C219" s="189"/>
      <c r="D219" s="303" t="s">
        <v>442</v>
      </c>
      <c r="E219" s="207"/>
      <c r="F219" s="207"/>
      <c r="G219" s="207"/>
      <c r="H219" s="207"/>
      <c r="I219" s="208"/>
      <c r="J219" s="208"/>
      <c r="K219" s="208"/>
      <c r="L219" s="208"/>
      <c r="M219" s="208"/>
      <c r="N219" s="208"/>
      <c r="O219" s="208"/>
      <c r="P219" s="208"/>
      <c r="Q219" s="208"/>
      <c r="R219" s="208"/>
      <c r="S219" s="208"/>
      <c r="T219" s="208"/>
    </row>
    <row r="220" spans="2:20" ht="14.25" outlineLevel="2">
      <c r="B220" s="272"/>
      <c r="C220" s="272"/>
      <c r="D220" s="190" t="s">
        <v>26</v>
      </c>
      <c r="E220" s="209">
        <f>+E10</f>
        <v>17694090.44</v>
      </c>
      <c r="F220" s="210">
        <f>+F10</f>
        <v>19338026.07</v>
      </c>
      <c r="G220" s="210">
        <f>+G10</f>
        <v>25997535</v>
      </c>
      <c r="H220" s="211">
        <f>+H10</f>
        <v>24644334.58</v>
      </c>
      <c r="I220" s="280">
        <f aca="true" t="shared" si="92" ref="I220:T220">+I10</f>
        <v>22025356.34</v>
      </c>
      <c r="J220" s="281">
        <f t="shared" si="92"/>
        <v>19850045</v>
      </c>
      <c r="K220" s="281">
        <f t="shared" si="92"/>
        <v>20979000</v>
      </c>
      <c r="L220" s="281">
        <f t="shared" si="92"/>
        <v>20700000</v>
      </c>
      <c r="M220" s="281">
        <f t="shared" si="92"/>
        <v>21300000</v>
      </c>
      <c r="N220" s="281">
        <f t="shared" si="92"/>
        <v>21900000</v>
      </c>
      <c r="O220" s="281">
        <f t="shared" si="92"/>
        <v>22500000</v>
      </c>
      <c r="P220" s="281">
        <f t="shared" si="92"/>
        <v>23000000</v>
      </c>
      <c r="Q220" s="281">
        <f t="shared" si="92"/>
        <v>23468000</v>
      </c>
      <c r="R220" s="281">
        <f t="shared" si="92"/>
        <v>23937000</v>
      </c>
      <c r="S220" s="281">
        <f t="shared" si="92"/>
        <v>24416000</v>
      </c>
      <c r="T220" s="281">
        <f t="shared" si="92"/>
        <v>24900000</v>
      </c>
    </row>
    <row r="221" spans="2:20" ht="14.25" outlineLevel="2">
      <c r="B221" s="189"/>
      <c r="C221" s="189"/>
      <c r="D221" s="193" t="s">
        <v>391</v>
      </c>
      <c r="E221" s="218">
        <f>+(E10-E77-E80)</f>
        <v>17694090.44</v>
      </c>
      <c r="F221" s="219">
        <f>+(F10-F77-F80)</f>
        <v>19338026.07</v>
      </c>
      <c r="G221" s="219">
        <f>+(G10-G77-G80)</f>
        <v>25997535</v>
      </c>
      <c r="H221" s="220">
        <f>+(H10-H77-H80)</f>
        <v>24644334.58</v>
      </c>
      <c r="I221" s="212">
        <f>+(I10-I77-I80)</f>
        <v>20704674.02</v>
      </c>
      <c r="J221" s="213">
        <f aca="true" t="shared" si="93" ref="J221:T221">+(J10-J77-J80)</f>
        <v>19850045</v>
      </c>
      <c r="K221" s="213">
        <f t="shared" si="93"/>
        <v>20979000</v>
      </c>
      <c r="L221" s="213">
        <f t="shared" si="93"/>
        <v>20700000</v>
      </c>
      <c r="M221" s="213">
        <f t="shared" si="93"/>
        <v>21300000</v>
      </c>
      <c r="N221" s="213">
        <f t="shared" si="93"/>
        <v>21900000</v>
      </c>
      <c r="O221" s="213">
        <f t="shared" si="93"/>
        <v>22500000</v>
      </c>
      <c r="P221" s="213">
        <f t="shared" si="93"/>
        <v>23000000</v>
      </c>
      <c r="Q221" s="213">
        <f t="shared" si="93"/>
        <v>23468000</v>
      </c>
      <c r="R221" s="213">
        <f t="shared" si="93"/>
        <v>23937000</v>
      </c>
      <c r="S221" s="213">
        <f t="shared" si="93"/>
        <v>24416000</v>
      </c>
      <c r="T221" s="213">
        <f t="shared" si="93"/>
        <v>24900000</v>
      </c>
    </row>
    <row r="222" spans="2:20" ht="14.25" outlineLevel="2">
      <c r="B222" s="189"/>
      <c r="C222" s="189"/>
      <c r="D222" s="197" t="s">
        <v>392</v>
      </c>
      <c r="E222" s="218">
        <f>+E11-E77</f>
        <v>15865836.94</v>
      </c>
      <c r="F222" s="219">
        <f>+F11-F77</f>
        <v>17910350.27</v>
      </c>
      <c r="G222" s="219">
        <f>+G11-G77</f>
        <v>17642438</v>
      </c>
      <c r="H222" s="220">
        <f>+H11-H77</f>
        <v>17734513.03</v>
      </c>
      <c r="I222" s="212">
        <f>+I11-I77</f>
        <v>19118215.02</v>
      </c>
      <c r="J222" s="213">
        <f aca="true" t="shared" si="94" ref="J222:T222">+J11-J77</f>
        <v>19300045</v>
      </c>
      <c r="K222" s="213">
        <f t="shared" si="94"/>
        <v>20100000</v>
      </c>
      <c r="L222" s="213">
        <f t="shared" si="94"/>
        <v>20700000</v>
      </c>
      <c r="M222" s="213">
        <f t="shared" si="94"/>
        <v>21300000</v>
      </c>
      <c r="N222" s="213">
        <f t="shared" si="94"/>
        <v>21900000</v>
      </c>
      <c r="O222" s="213">
        <f t="shared" si="94"/>
        <v>22500000</v>
      </c>
      <c r="P222" s="213">
        <f t="shared" si="94"/>
        <v>23000000</v>
      </c>
      <c r="Q222" s="213">
        <f t="shared" si="94"/>
        <v>23468000</v>
      </c>
      <c r="R222" s="213">
        <f t="shared" si="94"/>
        <v>23937000</v>
      </c>
      <c r="S222" s="213">
        <f t="shared" si="94"/>
        <v>24416000</v>
      </c>
      <c r="T222" s="213">
        <f t="shared" si="94"/>
        <v>24900000</v>
      </c>
    </row>
    <row r="223" spans="2:20" ht="14.25" outlineLevel="2">
      <c r="B223" s="189"/>
      <c r="C223" s="189"/>
      <c r="D223" s="197" t="s">
        <v>393</v>
      </c>
      <c r="E223" s="218">
        <f>+E18-E80</f>
        <v>1828253.5</v>
      </c>
      <c r="F223" s="219">
        <f>+F18-F80</f>
        <v>1427675.8</v>
      </c>
      <c r="G223" s="219">
        <f>+G18-G80</f>
        <v>8355097</v>
      </c>
      <c r="H223" s="220">
        <f>+H18-H80</f>
        <v>6909821.55</v>
      </c>
      <c r="I223" s="212">
        <f>+I18-I80</f>
        <v>1586459</v>
      </c>
      <c r="J223" s="213">
        <f aca="true" t="shared" si="95" ref="J223:T223">+J18-J80</f>
        <v>550000</v>
      </c>
      <c r="K223" s="213">
        <f t="shared" si="95"/>
        <v>879000</v>
      </c>
      <c r="L223" s="213">
        <f t="shared" si="95"/>
        <v>0</v>
      </c>
      <c r="M223" s="213">
        <f t="shared" si="95"/>
        <v>0</v>
      </c>
      <c r="N223" s="213">
        <f t="shared" si="95"/>
        <v>0</v>
      </c>
      <c r="O223" s="213">
        <f t="shared" si="95"/>
        <v>0</v>
      </c>
      <c r="P223" s="213">
        <f t="shared" si="95"/>
        <v>0</v>
      </c>
      <c r="Q223" s="213">
        <f t="shared" si="95"/>
        <v>0</v>
      </c>
      <c r="R223" s="213">
        <f t="shared" si="95"/>
        <v>0</v>
      </c>
      <c r="S223" s="213">
        <f t="shared" si="95"/>
        <v>0</v>
      </c>
      <c r="T223" s="213">
        <f t="shared" si="95"/>
        <v>0</v>
      </c>
    </row>
    <row r="224" spans="2:20" ht="24" outlineLevel="2">
      <c r="B224" s="189"/>
      <c r="C224" s="189"/>
      <c r="D224" s="197" t="s">
        <v>394</v>
      </c>
      <c r="E224" s="218">
        <f>+E18-E80-E19</f>
        <v>1093021.6600000001</v>
      </c>
      <c r="F224" s="219">
        <f>+F18-F80-F19</f>
        <v>817883.78</v>
      </c>
      <c r="G224" s="219">
        <f>+G18-G80-G19</f>
        <v>5510397</v>
      </c>
      <c r="H224" s="220">
        <f>+H18-H80-H19</f>
        <v>4665257.25</v>
      </c>
      <c r="I224" s="212">
        <f>+I18-I80-I19</f>
        <v>143263</v>
      </c>
      <c r="J224" s="213">
        <f aca="true" t="shared" si="96" ref="J224:T224">+J18-J80-J19</f>
        <v>0</v>
      </c>
      <c r="K224" s="213">
        <f t="shared" si="96"/>
        <v>553000</v>
      </c>
      <c r="L224" s="213">
        <f t="shared" si="96"/>
        <v>0</v>
      </c>
      <c r="M224" s="213">
        <f t="shared" si="96"/>
        <v>0</v>
      </c>
      <c r="N224" s="213">
        <f t="shared" si="96"/>
        <v>0</v>
      </c>
      <c r="O224" s="213">
        <f t="shared" si="96"/>
        <v>0</v>
      </c>
      <c r="P224" s="213">
        <f t="shared" si="96"/>
        <v>0</v>
      </c>
      <c r="Q224" s="213">
        <f t="shared" si="96"/>
        <v>0</v>
      </c>
      <c r="R224" s="213">
        <f t="shared" si="96"/>
        <v>0</v>
      </c>
      <c r="S224" s="213">
        <f t="shared" si="96"/>
        <v>0</v>
      </c>
      <c r="T224" s="213">
        <f t="shared" si="96"/>
        <v>0</v>
      </c>
    </row>
    <row r="225" spans="2:20" ht="14.25" outlineLevel="2">
      <c r="B225" s="189"/>
      <c r="C225" s="189"/>
      <c r="D225" s="198" t="s">
        <v>36</v>
      </c>
      <c r="E225" s="221">
        <f>+E19</f>
        <v>735231.84</v>
      </c>
      <c r="F225" s="222">
        <f>+F19</f>
        <v>609792.02</v>
      </c>
      <c r="G225" s="222">
        <f>+G19</f>
        <v>2844700</v>
      </c>
      <c r="H225" s="223">
        <f>+H19</f>
        <v>2244564.3</v>
      </c>
      <c r="I225" s="215">
        <f>+I19</f>
        <v>1443196</v>
      </c>
      <c r="J225" s="216">
        <f aca="true" t="shared" si="97" ref="J225:T225">+J19</f>
        <v>550000</v>
      </c>
      <c r="K225" s="216">
        <f t="shared" si="97"/>
        <v>326000</v>
      </c>
      <c r="L225" s="216">
        <f t="shared" si="97"/>
        <v>0</v>
      </c>
      <c r="M225" s="216">
        <f t="shared" si="97"/>
        <v>0</v>
      </c>
      <c r="N225" s="216">
        <f t="shared" si="97"/>
        <v>0</v>
      </c>
      <c r="O225" s="216">
        <f t="shared" si="97"/>
        <v>0</v>
      </c>
      <c r="P225" s="216">
        <f t="shared" si="97"/>
        <v>0</v>
      </c>
      <c r="Q225" s="216">
        <f t="shared" si="97"/>
        <v>0</v>
      </c>
      <c r="R225" s="216">
        <f t="shared" si="97"/>
        <v>0</v>
      </c>
      <c r="S225" s="216">
        <f t="shared" si="97"/>
        <v>0</v>
      </c>
      <c r="T225" s="216">
        <f t="shared" si="97"/>
        <v>0</v>
      </c>
    </row>
    <row r="226" spans="2:20" ht="14.25" outlineLevel="2">
      <c r="B226" s="272"/>
      <c r="C226" s="272"/>
      <c r="D226" s="190" t="s">
        <v>21</v>
      </c>
      <c r="E226" s="209">
        <f>+E21</f>
        <v>22089749.59</v>
      </c>
      <c r="F226" s="210">
        <f>+F21</f>
        <v>21767768.69</v>
      </c>
      <c r="G226" s="210">
        <f>+G21</f>
        <v>22390040</v>
      </c>
      <c r="H226" s="211">
        <f>+H21</f>
        <v>20539963.48</v>
      </c>
      <c r="I226" s="280">
        <f>+I21</f>
        <v>21687098.34</v>
      </c>
      <c r="J226" s="281">
        <f aca="true" t="shared" si="98" ref="J226:T226">+J21</f>
        <v>19815010</v>
      </c>
      <c r="K226" s="281">
        <f t="shared" si="98"/>
        <v>20604965</v>
      </c>
      <c r="L226" s="281">
        <f t="shared" si="98"/>
        <v>19784865</v>
      </c>
      <c r="M226" s="281">
        <f t="shared" si="98"/>
        <v>20384865</v>
      </c>
      <c r="N226" s="281">
        <f t="shared" si="98"/>
        <v>21034485</v>
      </c>
      <c r="O226" s="281">
        <f t="shared" si="98"/>
        <v>21724449</v>
      </c>
      <c r="P226" s="281">
        <f t="shared" si="98"/>
        <v>22418449</v>
      </c>
      <c r="Q226" s="281">
        <f t="shared" si="98"/>
        <v>22751149</v>
      </c>
      <c r="R226" s="281">
        <f t="shared" si="98"/>
        <v>23220149</v>
      </c>
      <c r="S226" s="281">
        <f t="shared" si="98"/>
        <v>23746549</v>
      </c>
      <c r="T226" s="281">
        <f t="shared" si="98"/>
        <v>24445650</v>
      </c>
    </row>
    <row r="227" spans="2:20" ht="14.25" outlineLevel="2">
      <c r="B227" s="189"/>
      <c r="C227" s="189"/>
      <c r="D227" s="202" t="s">
        <v>390</v>
      </c>
      <c r="E227" s="218">
        <f>+E21-E83-E86</f>
        <v>22089749.59</v>
      </c>
      <c r="F227" s="219">
        <f>+F21-F83-F86</f>
        <v>21767768.69</v>
      </c>
      <c r="G227" s="219">
        <f>+G21-G83-G86</f>
        <v>22390040</v>
      </c>
      <c r="H227" s="220">
        <f>+H21-H83-H86</f>
        <v>20539963.48</v>
      </c>
      <c r="I227" s="212">
        <f>+I21-I83-I86</f>
        <v>21523570.88</v>
      </c>
      <c r="J227" s="213">
        <f aca="true" t="shared" si="99" ref="J227:T227">+J21-J83-J86</f>
        <v>19815010</v>
      </c>
      <c r="K227" s="213">
        <f t="shared" si="99"/>
        <v>20604965</v>
      </c>
      <c r="L227" s="213">
        <f t="shared" si="99"/>
        <v>19784865</v>
      </c>
      <c r="M227" s="213">
        <f t="shared" si="99"/>
        <v>20384865</v>
      </c>
      <c r="N227" s="213">
        <f t="shared" si="99"/>
        <v>21034485</v>
      </c>
      <c r="O227" s="213">
        <f t="shared" si="99"/>
        <v>21724449</v>
      </c>
      <c r="P227" s="213">
        <f t="shared" si="99"/>
        <v>22418449</v>
      </c>
      <c r="Q227" s="213">
        <f t="shared" si="99"/>
        <v>22751149</v>
      </c>
      <c r="R227" s="213">
        <f t="shared" si="99"/>
        <v>23220149</v>
      </c>
      <c r="S227" s="213">
        <f t="shared" si="99"/>
        <v>23746549</v>
      </c>
      <c r="T227" s="213">
        <f t="shared" si="99"/>
        <v>24445650</v>
      </c>
    </row>
    <row r="228" spans="2:20" ht="14.25" outlineLevel="2">
      <c r="B228" s="272"/>
      <c r="C228" s="272"/>
      <c r="D228" s="203" t="s">
        <v>37</v>
      </c>
      <c r="E228" s="261">
        <f>+E22</f>
        <v>14506921.92</v>
      </c>
      <c r="F228" s="262">
        <f>+F22</f>
        <v>15158377.44</v>
      </c>
      <c r="G228" s="262">
        <f>+G22</f>
        <v>17619717</v>
      </c>
      <c r="H228" s="263">
        <f>+H22</f>
        <v>16837409.82</v>
      </c>
      <c r="I228" s="283">
        <f>+I22</f>
        <v>19126038.34</v>
      </c>
      <c r="J228" s="284">
        <f aca="true" t="shared" si="100" ref="J228:T228">+J22</f>
        <v>18607000</v>
      </c>
      <c r="K228" s="284">
        <f t="shared" si="100"/>
        <v>18853975</v>
      </c>
      <c r="L228" s="284">
        <f t="shared" si="100"/>
        <v>19201000</v>
      </c>
      <c r="M228" s="284">
        <f t="shared" si="100"/>
        <v>19530000</v>
      </c>
      <c r="N228" s="284">
        <f t="shared" si="100"/>
        <v>19884000</v>
      </c>
      <c r="O228" s="284">
        <f t="shared" si="100"/>
        <v>20247000</v>
      </c>
      <c r="P228" s="284">
        <f t="shared" si="100"/>
        <v>20600000</v>
      </c>
      <c r="Q228" s="284">
        <f t="shared" si="100"/>
        <v>20779000</v>
      </c>
      <c r="R228" s="284">
        <f t="shared" si="100"/>
        <v>20954000</v>
      </c>
      <c r="S228" s="284">
        <f t="shared" si="100"/>
        <v>21136000</v>
      </c>
      <c r="T228" s="284">
        <f t="shared" si="100"/>
        <v>21326000</v>
      </c>
    </row>
    <row r="229" spans="2:20" ht="14.25" outlineLevel="2">
      <c r="B229" s="189"/>
      <c r="C229" s="189"/>
      <c r="D229" s="197" t="s">
        <v>39</v>
      </c>
      <c r="E229" s="218">
        <f>+E22-E83</f>
        <v>14506921.92</v>
      </c>
      <c r="F229" s="219">
        <f>+F22-F83</f>
        <v>15158377.44</v>
      </c>
      <c r="G229" s="219">
        <f>+G22-G83</f>
        <v>17619717</v>
      </c>
      <c r="H229" s="220">
        <f>+H22-H83</f>
        <v>16837409.82</v>
      </c>
      <c r="I229" s="212">
        <f>+I22-I83</f>
        <v>19057656.88</v>
      </c>
      <c r="J229" s="213">
        <f aca="true" t="shared" si="101" ref="J229:T229">+J22-J83</f>
        <v>18607000</v>
      </c>
      <c r="K229" s="213">
        <f t="shared" si="101"/>
        <v>18853975</v>
      </c>
      <c r="L229" s="213">
        <f t="shared" si="101"/>
        <v>19201000</v>
      </c>
      <c r="M229" s="213">
        <f t="shared" si="101"/>
        <v>19530000</v>
      </c>
      <c r="N229" s="213">
        <f t="shared" si="101"/>
        <v>19884000</v>
      </c>
      <c r="O229" s="213">
        <f t="shared" si="101"/>
        <v>20247000</v>
      </c>
      <c r="P229" s="213">
        <f t="shared" si="101"/>
        <v>20600000</v>
      </c>
      <c r="Q229" s="213">
        <f t="shared" si="101"/>
        <v>20779000</v>
      </c>
      <c r="R229" s="213">
        <f t="shared" si="101"/>
        <v>20954000</v>
      </c>
      <c r="S229" s="213">
        <f t="shared" si="101"/>
        <v>21136000</v>
      </c>
      <c r="T229" s="213">
        <f t="shared" si="101"/>
        <v>21326000</v>
      </c>
    </row>
    <row r="230" spans="2:20" ht="14.25" outlineLevel="2">
      <c r="B230" s="189"/>
      <c r="C230" s="189"/>
      <c r="D230" s="197" t="s">
        <v>38</v>
      </c>
      <c r="E230" s="218">
        <f>+E68</f>
        <v>5900000</v>
      </c>
      <c r="F230" s="219">
        <f>+F68</f>
        <v>6400000</v>
      </c>
      <c r="G230" s="219">
        <f>+G68</f>
        <v>6922323.12</v>
      </c>
      <c r="H230" s="220">
        <f>+H68</f>
        <v>0</v>
      </c>
      <c r="I230" s="212">
        <f>+I68</f>
        <v>7698600.8</v>
      </c>
      <c r="J230" s="213">
        <f aca="true" t="shared" si="102" ref="J230:T230">+J68</f>
        <v>7861000</v>
      </c>
      <c r="K230" s="213">
        <f t="shared" si="102"/>
        <v>8019000</v>
      </c>
      <c r="L230" s="213">
        <f t="shared" si="102"/>
        <v>8179000</v>
      </c>
      <c r="M230" s="213">
        <f t="shared" si="102"/>
        <v>0</v>
      </c>
      <c r="N230" s="213">
        <f t="shared" si="102"/>
        <v>0</v>
      </c>
      <c r="O230" s="213">
        <f t="shared" si="102"/>
        <v>0</v>
      </c>
      <c r="P230" s="213">
        <f t="shared" si="102"/>
        <v>0</v>
      </c>
      <c r="Q230" s="213">
        <f t="shared" si="102"/>
        <v>0</v>
      </c>
      <c r="R230" s="213">
        <f t="shared" si="102"/>
        <v>0</v>
      </c>
      <c r="S230" s="213">
        <f t="shared" si="102"/>
        <v>0</v>
      </c>
      <c r="T230" s="213">
        <f t="shared" si="102"/>
        <v>0</v>
      </c>
    </row>
    <row r="231" spans="2:20" ht="24" outlineLevel="2">
      <c r="B231" s="189"/>
      <c r="C231" s="189"/>
      <c r="D231" s="198" t="s">
        <v>389</v>
      </c>
      <c r="E231" s="221">
        <f>+E22-E23-E26-E68-E69</f>
        <v>8275747.08</v>
      </c>
      <c r="F231" s="222">
        <f>+F22-F23-F26-F68-F69</f>
        <v>8327911.469999999</v>
      </c>
      <c r="G231" s="222">
        <f>+G22-G23-G26-G68-G69</f>
        <v>10174393.879999999</v>
      </c>
      <c r="H231" s="223">
        <f>+H22-H23-H26-H68-H69</f>
        <v>14779145.75</v>
      </c>
      <c r="I231" s="215">
        <f>+I22-I23-I26-I68-I69</f>
        <v>9267587.54</v>
      </c>
      <c r="J231" s="216">
        <f aca="true" t="shared" si="103" ref="J231:T231">+J22-J23-J26-J68-J69</f>
        <v>8601000</v>
      </c>
      <c r="K231" s="216">
        <f t="shared" si="103"/>
        <v>8740975</v>
      </c>
      <c r="L231" s="216">
        <f t="shared" si="103"/>
        <v>8903000</v>
      </c>
      <c r="M231" s="216">
        <f t="shared" si="103"/>
        <v>19245000</v>
      </c>
      <c r="N231" s="216">
        <f t="shared" si="103"/>
        <v>19640000</v>
      </c>
      <c r="O231" s="216">
        <f t="shared" si="103"/>
        <v>20045000</v>
      </c>
      <c r="P231" s="216">
        <f t="shared" si="103"/>
        <v>20437000</v>
      </c>
      <c r="Q231" s="216">
        <f t="shared" si="103"/>
        <v>20649000</v>
      </c>
      <c r="R231" s="216">
        <f t="shared" si="103"/>
        <v>20864000</v>
      </c>
      <c r="S231" s="216">
        <f t="shared" si="103"/>
        <v>21085000</v>
      </c>
      <c r="T231" s="216">
        <f t="shared" si="103"/>
        <v>21308000</v>
      </c>
    </row>
    <row r="232" spans="4:20" ht="14.25" outlineLevel="2">
      <c r="D232" s="25"/>
      <c r="E232" s="76"/>
      <c r="F232" s="76"/>
      <c r="G232" s="76"/>
      <c r="H232" s="7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</row>
    <row r="233" spans="4:8" ht="14.25" outlineLevel="1">
      <c r="D233" s="303" t="s">
        <v>441</v>
      </c>
      <c r="E233" s="73"/>
      <c r="F233" s="73"/>
      <c r="G233" s="418" t="s">
        <v>474</v>
      </c>
      <c r="H233" s="418" t="s">
        <v>476</v>
      </c>
    </row>
    <row r="234" spans="2:20" ht="14.25" outlineLevel="2">
      <c r="B234" s="286"/>
      <c r="C234" s="286"/>
      <c r="D234" s="8" t="s">
        <v>26</v>
      </c>
      <c r="E234" s="397" t="s">
        <v>427</v>
      </c>
      <c r="F234" s="103">
        <f aca="true" t="shared" si="104" ref="F234:I235">+IF(E10&lt;&gt;0,F10/E10,"-")</f>
        <v>1.0929087389699133</v>
      </c>
      <c r="G234" s="103">
        <f t="shared" si="104"/>
        <v>1.3443737693751077</v>
      </c>
      <c r="H234" s="104">
        <f>+IF(F10&lt;&gt;0,H10/F10,"-")</f>
        <v>1.274397629354318</v>
      </c>
      <c r="I234" s="91">
        <f t="shared" si="104"/>
        <v>0.8937289935137701</v>
      </c>
      <c r="J234" s="92">
        <f aca="true" t="shared" si="105" ref="J234:T234">+IF(I10&lt;&gt;0,J10/I10,"-")</f>
        <v>0.9012360432939084</v>
      </c>
      <c r="K234" s="92">
        <f t="shared" si="105"/>
        <v>1.0568741783708802</v>
      </c>
      <c r="L234" s="92">
        <f t="shared" si="105"/>
        <v>0.9867009867009867</v>
      </c>
      <c r="M234" s="92">
        <f t="shared" si="105"/>
        <v>1.0289855072463767</v>
      </c>
      <c r="N234" s="92">
        <f t="shared" si="105"/>
        <v>1.028169014084507</v>
      </c>
      <c r="O234" s="92">
        <f t="shared" si="105"/>
        <v>1.0273972602739727</v>
      </c>
      <c r="P234" s="92">
        <f t="shared" si="105"/>
        <v>1.0222222222222221</v>
      </c>
      <c r="Q234" s="92">
        <f t="shared" si="105"/>
        <v>1.0203478260869565</v>
      </c>
      <c r="R234" s="92">
        <f t="shared" si="105"/>
        <v>1.0199846599625022</v>
      </c>
      <c r="S234" s="92">
        <f t="shared" si="105"/>
        <v>1.0200108618456782</v>
      </c>
      <c r="T234" s="92">
        <f t="shared" si="105"/>
        <v>1.0198230668414154</v>
      </c>
    </row>
    <row r="235" spans="4:20" ht="14.25" outlineLevel="2">
      <c r="D235" s="9" t="s">
        <v>226</v>
      </c>
      <c r="E235" s="398" t="s">
        <v>427</v>
      </c>
      <c r="F235" s="105">
        <f t="shared" si="104"/>
        <v>1.128862620845768</v>
      </c>
      <c r="G235" s="105">
        <f t="shared" si="104"/>
        <v>0.9850414835019304</v>
      </c>
      <c r="H235" s="106">
        <f>+IF(F11&lt;&gt;0,H11/F11,"-")</f>
        <v>0.9901823673267559</v>
      </c>
      <c r="I235" s="94">
        <f t="shared" si="104"/>
        <v>1.0886469398590528</v>
      </c>
      <c r="J235" s="95">
        <f aca="true" t="shared" si="106" ref="J235:T235">+IF(I11&lt;&gt;0,J11/I11,"-")</f>
        <v>0.9996592702988942</v>
      </c>
      <c r="K235" s="95">
        <f t="shared" si="106"/>
        <v>1.0414483489546267</v>
      </c>
      <c r="L235" s="95">
        <f t="shared" si="106"/>
        <v>1.0298507462686568</v>
      </c>
      <c r="M235" s="95">
        <f t="shared" si="106"/>
        <v>1.0289855072463767</v>
      </c>
      <c r="N235" s="95">
        <f t="shared" si="106"/>
        <v>1.028169014084507</v>
      </c>
      <c r="O235" s="95">
        <f t="shared" si="106"/>
        <v>1.0273972602739727</v>
      </c>
      <c r="P235" s="95">
        <f t="shared" si="106"/>
        <v>1.0222222222222221</v>
      </c>
      <c r="Q235" s="95">
        <f t="shared" si="106"/>
        <v>1.0203478260869565</v>
      </c>
      <c r="R235" s="95">
        <f t="shared" si="106"/>
        <v>1.0199846599625022</v>
      </c>
      <c r="S235" s="95">
        <f t="shared" si="106"/>
        <v>1.0200108618456782</v>
      </c>
      <c r="T235" s="95">
        <f t="shared" si="106"/>
        <v>1.0198230668414154</v>
      </c>
    </row>
    <row r="236" spans="4:20" ht="24" outlineLevel="2">
      <c r="D236" s="10" t="s">
        <v>397</v>
      </c>
      <c r="E236" s="399" t="s">
        <v>427</v>
      </c>
      <c r="F236" s="107" t="str">
        <f>+IF((E77)&lt;&gt;0,(F77)/(E77),"-")</f>
        <v>-</v>
      </c>
      <c r="G236" s="107" t="str">
        <f>+IF((F77)&lt;&gt;0,(G77)/(F77),"-")</f>
        <v>-</v>
      </c>
      <c r="H236" s="108" t="str">
        <f>+IF((F77)&lt;&gt;0,(H77)/(F77),"-")</f>
        <v>-</v>
      </c>
      <c r="I236" s="94" t="str">
        <f>+IF((H77)&lt;&gt;0,(I77)/(H77),"-")</f>
        <v>-</v>
      </c>
      <c r="J236" s="95">
        <f aca="true" t="shared" si="107" ref="J236:T236">+IF((I77)&lt;&gt;0,(J77)/(I77),"-")</f>
        <v>0</v>
      </c>
      <c r="K236" s="95" t="str">
        <f t="shared" si="107"/>
        <v>-</v>
      </c>
      <c r="L236" s="95" t="str">
        <f t="shared" si="107"/>
        <v>-</v>
      </c>
      <c r="M236" s="95" t="str">
        <f t="shared" si="107"/>
        <v>-</v>
      </c>
      <c r="N236" s="95" t="str">
        <f t="shared" si="107"/>
        <v>-</v>
      </c>
      <c r="O236" s="95" t="str">
        <f t="shared" si="107"/>
        <v>-</v>
      </c>
      <c r="P236" s="95" t="str">
        <f t="shared" si="107"/>
        <v>-</v>
      </c>
      <c r="Q236" s="95" t="str">
        <f t="shared" si="107"/>
        <v>-</v>
      </c>
      <c r="R236" s="95" t="str">
        <f t="shared" si="107"/>
        <v>-</v>
      </c>
      <c r="S236" s="95" t="str">
        <f t="shared" si="107"/>
        <v>-</v>
      </c>
      <c r="T236" s="95" t="str">
        <f t="shared" si="107"/>
        <v>-</v>
      </c>
    </row>
    <row r="237" spans="4:20" ht="14.25" outlineLevel="2">
      <c r="D237" s="9" t="s">
        <v>29</v>
      </c>
      <c r="E237" s="398" t="s">
        <v>427</v>
      </c>
      <c r="F237" s="105">
        <f aca="true" t="shared" si="108" ref="F237:I238">+IF(E18&lt;&gt;0,F18/E18,"-")</f>
        <v>0.7808959753119575</v>
      </c>
      <c r="G237" s="105">
        <f t="shared" si="108"/>
        <v>5.852236901402965</v>
      </c>
      <c r="H237" s="106">
        <f>+IF(F18&lt;&gt;0,H18/F18,"-")</f>
        <v>4.839909417810402</v>
      </c>
      <c r="I237" s="94">
        <f t="shared" si="108"/>
        <v>0.39345922037595893</v>
      </c>
      <c r="J237" s="95">
        <f aca="true" t="shared" si="109" ref="J237:T237">+IF(I18&lt;&gt;0,J18/I18,"-")</f>
        <v>0.2023001155317569</v>
      </c>
      <c r="K237" s="95">
        <f t="shared" si="109"/>
        <v>1.5981818181818181</v>
      </c>
      <c r="L237" s="95">
        <f t="shared" si="109"/>
        <v>0</v>
      </c>
      <c r="M237" s="95" t="str">
        <f t="shared" si="109"/>
        <v>-</v>
      </c>
      <c r="N237" s="95" t="str">
        <f t="shared" si="109"/>
        <v>-</v>
      </c>
      <c r="O237" s="95" t="str">
        <f t="shared" si="109"/>
        <v>-</v>
      </c>
      <c r="P237" s="95" t="str">
        <f t="shared" si="109"/>
        <v>-</v>
      </c>
      <c r="Q237" s="95" t="str">
        <f t="shared" si="109"/>
        <v>-</v>
      </c>
      <c r="R237" s="95" t="str">
        <f t="shared" si="109"/>
        <v>-</v>
      </c>
      <c r="S237" s="95" t="str">
        <f t="shared" si="109"/>
        <v>-</v>
      </c>
      <c r="T237" s="95" t="str">
        <f t="shared" si="109"/>
        <v>-</v>
      </c>
    </row>
    <row r="238" spans="4:20" ht="14.25" outlineLevel="2">
      <c r="D238" s="11" t="s">
        <v>30</v>
      </c>
      <c r="E238" s="398" t="s">
        <v>427</v>
      </c>
      <c r="F238" s="105">
        <f t="shared" si="108"/>
        <v>0.8293873943217693</v>
      </c>
      <c r="G238" s="105">
        <f t="shared" si="108"/>
        <v>4.6650331698338725</v>
      </c>
      <c r="H238" s="106">
        <f>+IF(F19&lt;&gt;0,H19/F19,"-")</f>
        <v>3.68086860172424</v>
      </c>
      <c r="I238" s="94">
        <f t="shared" si="108"/>
        <v>0.6429737833752412</v>
      </c>
      <c r="J238" s="95">
        <f aca="true" t="shared" si="110" ref="J238:T238">+IF(I19&lt;&gt;0,J19/I19,"-")</f>
        <v>0.3810986172356354</v>
      </c>
      <c r="K238" s="95">
        <f t="shared" si="110"/>
        <v>0.5927272727272728</v>
      </c>
      <c r="L238" s="95">
        <f t="shared" si="110"/>
        <v>0</v>
      </c>
      <c r="M238" s="95" t="str">
        <f t="shared" si="110"/>
        <v>-</v>
      </c>
      <c r="N238" s="95" t="str">
        <f t="shared" si="110"/>
        <v>-</v>
      </c>
      <c r="O238" s="95" t="str">
        <f t="shared" si="110"/>
        <v>-</v>
      </c>
      <c r="P238" s="95" t="str">
        <f t="shared" si="110"/>
        <v>-</v>
      </c>
      <c r="Q238" s="95" t="str">
        <f t="shared" si="110"/>
        <v>-</v>
      </c>
      <c r="R238" s="95" t="str">
        <f t="shared" si="110"/>
        <v>-</v>
      </c>
      <c r="S238" s="95" t="str">
        <f t="shared" si="110"/>
        <v>-</v>
      </c>
      <c r="T238" s="95" t="str">
        <f t="shared" si="110"/>
        <v>-</v>
      </c>
    </row>
    <row r="239" spans="4:20" ht="24" outlineLevel="2">
      <c r="D239" s="14" t="s">
        <v>397</v>
      </c>
      <c r="E239" s="400" t="s">
        <v>427</v>
      </c>
      <c r="F239" s="109" t="str">
        <f>+IF((E80)&lt;&gt;0,(F80)/(E80),"-")</f>
        <v>-</v>
      </c>
      <c r="G239" s="109" t="str">
        <f>+IF((F80)&lt;&gt;0,(G80)/(F80),"-")</f>
        <v>-</v>
      </c>
      <c r="H239" s="110" t="str">
        <f>+IF((F80)&lt;&gt;0,(H80)/(F80),"-")</f>
        <v>-</v>
      </c>
      <c r="I239" s="97" t="str">
        <f>+IF((H80)&lt;&gt;0,(I80)/(H80),"-")</f>
        <v>-</v>
      </c>
      <c r="J239" s="98">
        <f aca="true" t="shared" si="111" ref="J239:T239">+IF((I80)&lt;&gt;0,(J80)/(I80),"-")</f>
        <v>0</v>
      </c>
      <c r="K239" s="98" t="str">
        <f t="shared" si="111"/>
        <v>-</v>
      </c>
      <c r="L239" s="98" t="str">
        <f t="shared" si="111"/>
        <v>-</v>
      </c>
      <c r="M239" s="98" t="str">
        <f t="shared" si="111"/>
        <v>-</v>
      </c>
      <c r="N239" s="98" t="str">
        <f t="shared" si="111"/>
        <v>-</v>
      </c>
      <c r="O239" s="98" t="str">
        <f t="shared" si="111"/>
        <v>-</v>
      </c>
      <c r="P239" s="98" t="str">
        <f t="shared" si="111"/>
        <v>-</v>
      </c>
      <c r="Q239" s="98" t="str">
        <f t="shared" si="111"/>
        <v>-</v>
      </c>
      <c r="R239" s="98" t="str">
        <f t="shared" si="111"/>
        <v>-</v>
      </c>
      <c r="S239" s="98" t="str">
        <f t="shared" si="111"/>
        <v>-</v>
      </c>
      <c r="T239" s="98" t="str">
        <f t="shared" si="111"/>
        <v>-</v>
      </c>
    </row>
    <row r="240" spans="2:20" ht="14.25" outlineLevel="2">
      <c r="B240" s="286"/>
      <c r="C240" s="286"/>
      <c r="D240" s="8" t="s">
        <v>21</v>
      </c>
      <c r="E240" s="397" t="s">
        <v>427</v>
      </c>
      <c r="F240" s="103">
        <f aca="true" t="shared" si="112" ref="F240:I241">+IF(E21&lt;&gt;0,F21/E21,"-")</f>
        <v>0.9854239678594746</v>
      </c>
      <c r="G240" s="103">
        <f t="shared" si="112"/>
        <v>1.0285868211327451</v>
      </c>
      <c r="H240" s="104">
        <f>+IF(F21&lt;&gt;0,H21/F21,"-")</f>
        <v>0.9435952656661568</v>
      </c>
      <c r="I240" s="91">
        <f t="shared" si="112"/>
        <v>1.0558489240312905</v>
      </c>
      <c r="J240" s="92">
        <f aca="true" t="shared" si="113" ref="J240:T240">+IF(I21&lt;&gt;0,J21/I21,"-")</f>
        <v>0.9136773250782428</v>
      </c>
      <c r="K240" s="92">
        <f t="shared" si="113"/>
        <v>1.0398664951468608</v>
      </c>
      <c r="L240" s="92">
        <f t="shared" si="113"/>
        <v>0.9601989132230994</v>
      </c>
      <c r="M240" s="92">
        <f t="shared" si="113"/>
        <v>1.0303262114752867</v>
      </c>
      <c r="N240" s="92">
        <f t="shared" si="113"/>
        <v>1.031867760713647</v>
      </c>
      <c r="O240" s="92">
        <f t="shared" si="113"/>
        <v>1.0328015637178662</v>
      </c>
      <c r="P240" s="92">
        <f t="shared" si="113"/>
        <v>1.031945574315832</v>
      </c>
      <c r="Q240" s="92">
        <f t="shared" si="113"/>
        <v>1.014840455733579</v>
      </c>
      <c r="R240" s="92">
        <f t="shared" si="113"/>
        <v>1.0206143434777735</v>
      </c>
      <c r="S240" s="92">
        <f t="shared" si="113"/>
        <v>1.0226699665019376</v>
      </c>
      <c r="T240" s="92">
        <f t="shared" si="113"/>
        <v>1.0294401093817884</v>
      </c>
    </row>
    <row r="241" spans="4:20" ht="14.25" outlineLevel="2">
      <c r="D241" s="9" t="s">
        <v>222</v>
      </c>
      <c r="E241" s="398" t="s">
        <v>427</v>
      </c>
      <c r="F241" s="105">
        <f t="shared" si="112"/>
        <v>1.0449065296961355</v>
      </c>
      <c r="G241" s="105">
        <f t="shared" si="112"/>
        <v>1.1623748695889446</v>
      </c>
      <c r="H241" s="106">
        <f>+IF(F22&lt;&gt;0,H22/F22,"-")</f>
        <v>1.1107659699493537</v>
      </c>
      <c r="I241" s="94">
        <f t="shared" si="112"/>
        <v>1.1359252132285511</v>
      </c>
      <c r="J241" s="95">
        <f aca="true" t="shared" si="114" ref="J241:T241">+IF(I22&lt;&gt;0,J22/I22,"-")</f>
        <v>0.9728622137646515</v>
      </c>
      <c r="K241" s="95">
        <f t="shared" si="114"/>
        <v>1.0132732305046488</v>
      </c>
      <c r="L241" s="95">
        <f t="shared" si="114"/>
        <v>1.0184059329663904</v>
      </c>
      <c r="M241" s="95">
        <f t="shared" si="114"/>
        <v>1.017134524243529</v>
      </c>
      <c r="N241" s="95">
        <f t="shared" si="114"/>
        <v>1.0181259600614438</v>
      </c>
      <c r="O241" s="95">
        <f t="shared" si="114"/>
        <v>1.018255884127942</v>
      </c>
      <c r="P241" s="95">
        <f t="shared" si="114"/>
        <v>1.0174346816812367</v>
      </c>
      <c r="Q241" s="95">
        <f t="shared" si="114"/>
        <v>1.0086893203883496</v>
      </c>
      <c r="R241" s="95">
        <f t="shared" si="114"/>
        <v>1.0084219644833727</v>
      </c>
      <c r="S241" s="95">
        <f t="shared" si="114"/>
        <v>1.0086856924692182</v>
      </c>
      <c r="T241" s="95">
        <f t="shared" si="114"/>
        <v>1.008989401968206</v>
      </c>
    </row>
    <row r="242" spans="4:20" ht="14.25" outlineLevel="2">
      <c r="D242" s="10" t="s">
        <v>395</v>
      </c>
      <c r="E242" s="398" t="s">
        <v>427</v>
      </c>
      <c r="F242" s="105">
        <f>+IF((E22-E26)&lt;&gt;0,(F22-F26)/(E22-E26),"-")</f>
        <v>1.0389513432261377</v>
      </c>
      <c r="G242" s="105">
        <f>+IF((F22-F26)&lt;&gt;0,(G22-G26)/(F22-F26),"-")</f>
        <v>1.16083784417262</v>
      </c>
      <c r="H242" s="106">
        <f>+IF((F22-F26)&lt;&gt;0,(H22-H26)/(F22-F26),"-")</f>
        <v>1.1105454567211628</v>
      </c>
      <c r="I242" s="94">
        <f>+IF((H22-H26)&lt;&gt;0,(I22-I26)/(H22-H26),"-")</f>
        <v>1.1415395587457138</v>
      </c>
      <c r="J242" s="95">
        <f aca="true" t="shared" si="115" ref="J242:T242">+IF((I22-I26)&lt;&gt;0,(J22-J26)/(I22-I26),"-")</f>
        <v>0.9747717115983384</v>
      </c>
      <c r="K242" s="95">
        <f t="shared" si="115"/>
        <v>1.0178557692307693</v>
      </c>
      <c r="L242" s="95">
        <f t="shared" si="115"/>
        <v>1.0188947623411098</v>
      </c>
      <c r="M242" s="95">
        <f t="shared" si="115"/>
        <v>1.0196026490066226</v>
      </c>
      <c r="N242" s="95">
        <f t="shared" si="115"/>
        <v>1.0205248116393868</v>
      </c>
      <c r="O242" s="95">
        <f t="shared" si="115"/>
        <v>1.020621181262729</v>
      </c>
      <c r="P242" s="95">
        <f t="shared" si="115"/>
        <v>1.019555999002245</v>
      </c>
      <c r="Q242" s="95">
        <f t="shared" si="115"/>
        <v>1.010373342467094</v>
      </c>
      <c r="R242" s="95">
        <f t="shared" si="115"/>
        <v>1.0104121264952297</v>
      </c>
      <c r="S242" s="95">
        <f t="shared" si="115"/>
        <v>1.01059240797546</v>
      </c>
      <c r="T242" s="95">
        <f t="shared" si="115"/>
        <v>1.0105762390324875</v>
      </c>
    </row>
    <row r="243" spans="4:20" ht="24" outlineLevel="2">
      <c r="D243" s="10" t="s">
        <v>397</v>
      </c>
      <c r="E243" s="398" t="s">
        <v>427</v>
      </c>
      <c r="F243" s="105" t="str">
        <f>+IF(E83&lt;&gt;0,F83/E83,"-")</f>
        <v>-</v>
      </c>
      <c r="G243" s="105" t="str">
        <f>+IF(F83&lt;&gt;0,G83/F83,"-")</f>
        <v>-</v>
      </c>
      <c r="H243" s="106" t="str">
        <f>+IF(F83&lt;&gt;0,H83/F83,"-")</f>
        <v>-</v>
      </c>
      <c r="I243" s="94" t="str">
        <f>+IF(H83&lt;&gt;0,I83/H83,"-")</f>
        <v>-</v>
      </c>
      <c r="J243" s="95">
        <f aca="true" t="shared" si="116" ref="J243:T243">+IF(I83&lt;&gt;0,J83/I83,"-")</f>
        <v>0</v>
      </c>
      <c r="K243" s="95" t="str">
        <f t="shared" si="116"/>
        <v>-</v>
      </c>
      <c r="L243" s="95" t="str">
        <f t="shared" si="116"/>
        <v>-</v>
      </c>
      <c r="M243" s="95" t="str">
        <f t="shared" si="116"/>
        <v>-</v>
      </c>
      <c r="N243" s="95" t="str">
        <f t="shared" si="116"/>
        <v>-</v>
      </c>
      <c r="O243" s="95" t="str">
        <f t="shared" si="116"/>
        <v>-</v>
      </c>
      <c r="P243" s="95" t="str">
        <f t="shared" si="116"/>
        <v>-</v>
      </c>
      <c r="Q243" s="95" t="str">
        <f t="shared" si="116"/>
        <v>-</v>
      </c>
      <c r="R243" s="95" t="str">
        <f t="shared" si="116"/>
        <v>-</v>
      </c>
      <c r="S243" s="95" t="str">
        <f t="shared" si="116"/>
        <v>-</v>
      </c>
      <c r="T243" s="95" t="str">
        <f t="shared" si="116"/>
        <v>-</v>
      </c>
    </row>
    <row r="244" spans="4:20" ht="14.25" outlineLevel="2">
      <c r="D244" s="10" t="s">
        <v>223</v>
      </c>
      <c r="E244" s="398" t="s">
        <v>427</v>
      </c>
      <c r="F244" s="105" t="str">
        <f aca="true" t="shared" si="117" ref="F244:I245">+IF(E23&lt;&gt;0,F23/E23,"-")</f>
        <v>-</v>
      </c>
      <c r="G244" s="105" t="str">
        <f t="shared" si="117"/>
        <v>-</v>
      </c>
      <c r="H244" s="106" t="str">
        <f>+IF(F23&lt;&gt;0,H23/F23,"-")</f>
        <v>-</v>
      </c>
      <c r="I244" s="94" t="str">
        <f t="shared" si="117"/>
        <v>-</v>
      </c>
      <c r="J244" s="95" t="str">
        <f aca="true" t="shared" si="118" ref="J244:T244">+IF(I23&lt;&gt;0,J23/I23,"-")</f>
        <v>-</v>
      </c>
      <c r="K244" s="95" t="str">
        <f t="shared" si="118"/>
        <v>-</v>
      </c>
      <c r="L244" s="95" t="str">
        <f t="shared" si="118"/>
        <v>-</v>
      </c>
      <c r="M244" s="95" t="str">
        <f t="shared" si="118"/>
        <v>-</v>
      </c>
      <c r="N244" s="95" t="str">
        <f t="shared" si="118"/>
        <v>-</v>
      </c>
      <c r="O244" s="95" t="str">
        <f t="shared" si="118"/>
        <v>-</v>
      </c>
      <c r="P244" s="95" t="str">
        <f t="shared" si="118"/>
        <v>-</v>
      </c>
      <c r="Q244" s="95" t="str">
        <f t="shared" si="118"/>
        <v>-</v>
      </c>
      <c r="R244" s="95" t="str">
        <f t="shared" si="118"/>
        <v>-</v>
      </c>
      <c r="S244" s="95" t="str">
        <f t="shared" si="118"/>
        <v>-</v>
      </c>
      <c r="T244" s="95" t="str">
        <f t="shared" si="118"/>
        <v>-</v>
      </c>
    </row>
    <row r="245" spans="4:20" ht="24" outlineLevel="2">
      <c r="D245" s="12" t="s">
        <v>396</v>
      </c>
      <c r="E245" s="398" t="s">
        <v>427</v>
      </c>
      <c r="F245" s="105" t="str">
        <f t="shared" si="117"/>
        <v>-</v>
      </c>
      <c r="G245" s="105" t="str">
        <f t="shared" si="117"/>
        <v>-</v>
      </c>
      <c r="H245" s="106" t="str">
        <f>+IF(F24&lt;&gt;0,H24/F24,"-")</f>
        <v>-</v>
      </c>
      <c r="I245" s="94" t="str">
        <f t="shared" si="117"/>
        <v>-</v>
      </c>
      <c r="J245" s="95" t="str">
        <f aca="true" t="shared" si="119" ref="J245:T245">+IF(I24&lt;&gt;0,J24/I24,"-")</f>
        <v>-</v>
      </c>
      <c r="K245" s="95" t="str">
        <f t="shared" si="119"/>
        <v>-</v>
      </c>
      <c r="L245" s="95" t="str">
        <f t="shared" si="119"/>
        <v>-</v>
      </c>
      <c r="M245" s="95" t="str">
        <f t="shared" si="119"/>
        <v>-</v>
      </c>
      <c r="N245" s="95" t="str">
        <f t="shared" si="119"/>
        <v>-</v>
      </c>
      <c r="O245" s="95" t="str">
        <f t="shared" si="119"/>
        <v>-</v>
      </c>
      <c r="P245" s="95" t="str">
        <f t="shared" si="119"/>
        <v>-</v>
      </c>
      <c r="Q245" s="95" t="str">
        <f t="shared" si="119"/>
        <v>-</v>
      </c>
      <c r="R245" s="95" t="str">
        <f t="shared" si="119"/>
        <v>-</v>
      </c>
      <c r="S245" s="95" t="str">
        <f t="shared" si="119"/>
        <v>-</v>
      </c>
      <c r="T245" s="95" t="str">
        <f t="shared" si="119"/>
        <v>-</v>
      </c>
    </row>
    <row r="246" spans="4:20" ht="14.25" outlineLevel="2">
      <c r="D246" s="10" t="s">
        <v>398</v>
      </c>
      <c r="E246" s="398" t="s">
        <v>427</v>
      </c>
      <c r="F246" s="105">
        <f aca="true" t="shared" si="120" ref="F246:I248">+IF(E26&lt;&gt;0,F26/E26,"-")</f>
        <v>1.2998148349675354</v>
      </c>
      <c r="G246" s="105">
        <f t="shared" si="120"/>
        <v>1.2149624742694527</v>
      </c>
      <c r="H246" s="106">
        <f>+IF(F26&lt;&gt;0,H26/F26,"-")</f>
        <v>1.1183105832965148</v>
      </c>
      <c r="I246" s="94">
        <f t="shared" si="120"/>
        <v>0.9451704542208768</v>
      </c>
      <c r="J246" s="95">
        <f aca="true" t="shared" si="121" ref="J246:T246">+IF(I26&lt;&gt;0,J26/I26,"-")</f>
        <v>0.8945054945054945</v>
      </c>
      <c r="K246" s="95">
        <f t="shared" si="121"/>
        <v>0.8083538083538083</v>
      </c>
      <c r="L246" s="95">
        <f t="shared" si="121"/>
        <v>0.9908814589665653</v>
      </c>
      <c r="M246" s="95">
        <f t="shared" si="121"/>
        <v>0.8742331288343558</v>
      </c>
      <c r="N246" s="95">
        <f t="shared" si="121"/>
        <v>0.856140350877193</v>
      </c>
      <c r="O246" s="95">
        <f t="shared" si="121"/>
        <v>0.8278688524590164</v>
      </c>
      <c r="P246" s="95">
        <f t="shared" si="121"/>
        <v>0.806930693069307</v>
      </c>
      <c r="Q246" s="95">
        <f t="shared" si="121"/>
        <v>0.7975460122699386</v>
      </c>
      <c r="R246" s="95">
        <f t="shared" si="121"/>
        <v>0.6923076923076923</v>
      </c>
      <c r="S246" s="95">
        <f t="shared" si="121"/>
        <v>0.5666666666666667</v>
      </c>
      <c r="T246" s="95">
        <f t="shared" si="121"/>
        <v>0.35294117647058826</v>
      </c>
    </row>
    <row r="247" spans="4:20" ht="14.25" outlineLevel="2">
      <c r="D247" s="12" t="s">
        <v>399</v>
      </c>
      <c r="E247" s="398" t="s">
        <v>427</v>
      </c>
      <c r="F247" s="105">
        <f t="shared" si="120"/>
        <v>1.2998148349675354</v>
      </c>
      <c r="G247" s="105">
        <f t="shared" si="120"/>
        <v>1.2149624742694527</v>
      </c>
      <c r="H247" s="106">
        <f>+IF(F27&lt;&gt;0,H27/F27,"-")</f>
        <v>1.1183105832965148</v>
      </c>
      <c r="I247" s="94">
        <f t="shared" si="120"/>
        <v>0.9451704542208768</v>
      </c>
      <c r="J247" s="95">
        <f aca="true" t="shared" si="122" ref="J247:T247">+IF(I27&lt;&gt;0,J27/I27,"-")</f>
        <v>0.8945054945054945</v>
      </c>
      <c r="K247" s="95">
        <f t="shared" si="122"/>
        <v>0.8083538083538083</v>
      </c>
      <c r="L247" s="95">
        <f t="shared" si="122"/>
        <v>0.9908814589665653</v>
      </c>
      <c r="M247" s="95">
        <f t="shared" si="122"/>
        <v>0.8742331288343558</v>
      </c>
      <c r="N247" s="95">
        <f t="shared" si="122"/>
        <v>0.856140350877193</v>
      </c>
      <c r="O247" s="95">
        <f t="shared" si="122"/>
        <v>0.8278688524590164</v>
      </c>
      <c r="P247" s="95">
        <f t="shared" si="122"/>
        <v>0.806930693069307</v>
      </c>
      <c r="Q247" s="95">
        <f t="shared" si="122"/>
        <v>0.7975460122699386</v>
      </c>
      <c r="R247" s="95">
        <f t="shared" si="122"/>
        <v>0.6923076923076923</v>
      </c>
      <c r="S247" s="95">
        <f t="shared" si="122"/>
        <v>0.5666666666666667</v>
      </c>
      <c r="T247" s="95">
        <f t="shared" si="122"/>
        <v>0.35294117647058826</v>
      </c>
    </row>
    <row r="248" spans="4:20" ht="14.25" outlineLevel="2">
      <c r="D248" s="9" t="s">
        <v>400</v>
      </c>
      <c r="E248" s="398" t="s">
        <v>427</v>
      </c>
      <c r="F248" s="105">
        <f t="shared" si="120"/>
        <v>0.871626197724206</v>
      </c>
      <c r="G248" s="105">
        <f t="shared" si="120"/>
        <v>0.7217492231224775</v>
      </c>
      <c r="H248" s="106">
        <f>+IF(F28&lt;&gt;0,H28/F28,"-")</f>
        <v>0.5601958667524789</v>
      </c>
      <c r="I248" s="94">
        <f t="shared" si="120"/>
        <v>0.6917009813167704</v>
      </c>
      <c r="J248" s="95">
        <f aca="true" t="shared" si="123" ref="J248:T248">+IF(I28&lt;&gt;0,J28/I28,"-")</f>
        <v>0.4716835997594746</v>
      </c>
      <c r="K248" s="95">
        <f t="shared" si="123"/>
        <v>1.4494830340808438</v>
      </c>
      <c r="L248" s="95">
        <f t="shared" si="123"/>
        <v>0.3334485062735938</v>
      </c>
      <c r="M248" s="95">
        <f t="shared" si="123"/>
        <v>1.4641483904669743</v>
      </c>
      <c r="N248" s="95">
        <f t="shared" si="123"/>
        <v>1.345808987383973</v>
      </c>
      <c r="O248" s="95">
        <f t="shared" si="123"/>
        <v>1.2841966648848095</v>
      </c>
      <c r="P248" s="95">
        <f t="shared" si="123"/>
        <v>1.2308032290793116</v>
      </c>
      <c r="Q248" s="95">
        <f t="shared" si="123"/>
        <v>1.0845225794069562</v>
      </c>
      <c r="R248" s="95">
        <f t="shared" si="123"/>
        <v>1.1490759572425815</v>
      </c>
      <c r="S248" s="95">
        <f t="shared" si="123"/>
        <v>1.1519758850808133</v>
      </c>
      <c r="T248" s="95">
        <f t="shared" si="123"/>
        <v>1.1950168336238853</v>
      </c>
    </row>
    <row r="249" spans="4:20" ht="24" outlineLevel="2">
      <c r="D249" s="14" t="s">
        <v>397</v>
      </c>
      <c r="E249" s="401" t="s">
        <v>427</v>
      </c>
      <c r="F249" s="111" t="str">
        <f>+IF(E86&lt;&gt;0,F86/E86,"-")</f>
        <v>-</v>
      </c>
      <c r="G249" s="111" t="str">
        <f>+IF(F86&lt;&gt;0,G86/F86,"-")</f>
        <v>-</v>
      </c>
      <c r="H249" s="112" t="str">
        <f>+IF(F86&lt;&gt;0,H86/F86,"-")</f>
        <v>-</v>
      </c>
      <c r="I249" s="97" t="str">
        <f>+IF(H86&lt;&gt;0,I86/H86,"-")</f>
        <v>-</v>
      </c>
      <c r="J249" s="98">
        <f aca="true" t="shared" si="124" ref="J249:T249">+IF(I86&lt;&gt;0,J86/I86,"-")</f>
        <v>0</v>
      </c>
      <c r="K249" s="98" t="str">
        <f t="shared" si="124"/>
        <v>-</v>
      </c>
      <c r="L249" s="98" t="str">
        <f t="shared" si="124"/>
        <v>-</v>
      </c>
      <c r="M249" s="98" t="str">
        <f t="shared" si="124"/>
        <v>-</v>
      </c>
      <c r="N249" s="98" t="str">
        <f t="shared" si="124"/>
        <v>-</v>
      </c>
      <c r="O249" s="98" t="str">
        <f t="shared" si="124"/>
        <v>-</v>
      </c>
      <c r="P249" s="98" t="str">
        <f t="shared" si="124"/>
        <v>-</v>
      </c>
      <c r="Q249" s="98" t="str">
        <f t="shared" si="124"/>
        <v>-</v>
      </c>
      <c r="R249" s="98" t="str">
        <f t="shared" si="124"/>
        <v>-</v>
      </c>
      <c r="S249" s="98" t="str">
        <f t="shared" si="124"/>
        <v>-</v>
      </c>
      <c r="T249" s="98" t="str">
        <f t="shared" si="124"/>
        <v>-</v>
      </c>
    </row>
    <row r="250" spans="4:20" ht="14.25" outlineLevel="2">
      <c r="D250" s="35" t="s">
        <v>401</v>
      </c>
      <c r="E250" s="38"/>
      <c r="F250" s="38"/>
      <c r="G250" s="38"/>
      <c r="H250" s="38"/>
      <c r="I250" s="295"/>
      <c r="J250" s="296"/>
      <c r="K250" s="296"/>
      <c r="L250" s="296"/>
      <c r="M250" s="296"/>
      <c r="N250" s="296"/>
      <c r="O250" s="296"/>
      <c r="P250" s="296"/>
      <c r="Q250" s="296"/>
      <c r="R250" s="296"/>
      <c r="S250" s="296"/>
      <c r="T250" s="296"/>
    </row>
    <row r="251" spans="4:20" ht="14.25" outlineLevel="2">
      <c r="D251" s="34" t="s">
        <v>2</v>
      </c>
      <c r="E251" s="402" t="s">
        <v>427</v>
      </c>
      <c r="F251" s="242">
        <f aca="true" t="shared" si="125" ref="F251:I252">+IF(E68&lt;&gt;0,F68/E68,"-")</f>
        <v>1.0847457627118644</v>
      </c>
      <c r="G251" s="242">
        <f t="shared" si="125"/>
        <v>1.0816129875</v>
      </c>
      <c r="H251" s="243">
        <f t="shared" si="125"/>
        <v>0</v>
      </c>
      <c r="I251" s="100" t="str">
        <f t="shared" si="125"/>
        <v>-</v>
      </c>
      <c r="J251" s="101">
        <f aca="true" t="shared" si="126" ref="J251:T251">+IF(I68&lt;&gt;0,J68/I68,"-")</f>
        <v>1.021094638391953</v>
      </c>
      <c r="K251" s="101">
        <f t="shared" si="126"/>
        <v>1.0200992240173006</v>
      </c>
      <c r="L251" s="101">
        <f t="shared" si="126"/>
        <v>1.0199526125452052</v>
      </c>
      <c r="M251" s="101">
        <f t="shared" si="126"/>
        <v>0</v>
      </c>
      <c r="N251" s="101" t="str">
        <f t="shared" si="126"/>
        <v>-</v>
      </c>
      <c r="O251" s="101" t="str">
        <f t="shared" si="126"/>
        <v>-</v>
      </c>
      <c r="P251" s="101" t="str">
        <f t="shared" si="126"/>
        <v>-</v>
      </c>
      <c r="Q251" s="101" t="str">
        <f t="shared" si="126"/>
        <v>-</v>
      </c>
      <c r="R251" s="101" t="str">
        <f t="shared" si="126"/>
        <v>-</v>
      </c>
      <c r="S251" s="101" t="str">
        <f t="shared" si="126"/>
        <v>-</v>
      </c>
      <c r="T251" s="101" t="str">
        <f t="shared" si="126"/>
        <v>-</v>
      </c>
    </row>
    <row r="252" spans="4:20" ht="14.25" outlineLevel="2">
      <c r="D252" s="9" t="s">
        <v>3</v>
      </c>
      <c r="E252" s="398" t="s">
        <v>427</v>
      </c>
      <c r="F252" s="105" t="str">
        <f t="shared" si="125"/>
        <v>-</v>
      </c>
      <c r="G252" s="105" t="str">
        <f t="shared" si="125"/>
        <v>-</v>
      </c>
      <c r="H252" s="106" t="str">
        <f t="shared" si="125"/>
        <v>-</v>
      </c>
      <c r="I252" s="94">
        <f t="shared" si="125"/>
        <v>1.081161178203329</v>
      </c>
      <c r="J252" s="95">
        <f aca="true" t="shared" si="127" ref="J252:T252">+IF(I69&lt;&gt;0,J69/I69,"-")</f>
        <v>1.0194445259113705</v>
      </c>
      <c r="K252" s="95">
        <f t="shared" si="127"/>
        <v>1.0155350978135789</v>
      </c>
      <c r="L252" s="95">
        <f t="shared" si="127"/>
        <v>1.0158640226628894</v>
      </c>
      <c r="M252" s="95">
        <f t="shared" si="127"/>
        <v>0</v>
      </c>
      <c r="N252" s="95" t="str">
        <f t="shared" si="127"/>
        <v>-</v>
      </c>
      <c r="O252" s="95" t="str">
        <f t="shared" si="127"/>
        <v>-</v>
      </c>
      <c r="P252" s="95" t="str">
        <f t="shared" si="127"/>
        <v>-</v>
      </c>
      <c r="Q252" s="95" t="str">
        <f t="shared" si="127"/>
        <v>-</v>
      </c>
      <c r="R252" s="95" t="str">
        <f t="shared" si="127"/>
        <v>-</v>
      </c>
      <c r="S252" s="95" t="str">
        <f t="shared" si="127"/>
        <v>-</v>
      </c>
      <c r="T252" s="95" t="str">
        <f t="shared" si="127"/>
        <v>-</v>
      </c>
    </row>
    <row r="253" spans="4:20" ht="14.25" outlineLevel="2">
      <c r="D253" s="9" t="s">
        <v>402</v>
      </c>
      <c r="E253" s="398" t="s">
        <v>427</v>
      </c>
      <c r="F253" s="105">
        <f aca="true" t="shared" si="128" ref="F253:I254">+IF(E71&lt;&gt;0,F71/E71,"-")</f>
        <v>3.8210003438682048</v>
      </c>
      <c r="G253" s="105">
        <f t="shared" si="128"/>
        <v>3.5802182083315404</v>
      </c>
      <c r="H253" s="106">
        <f t="shared" si="128"/>
        <v>0</v>
      </c>
      <c r="I253" s="94" t="str">
        <f t="shared" si="128"/>
        <v>-</v>
      </c>
      <c r="J253" s="95">
        <f aca="true" t="shared" si="129" ref="J253:T253">+IF(I71&lt;&gt;0,J71/I71,"-")</f>
        <v>0.3540793914004771</v>
      </c>
      <c r="K253" s="95">
        <f t="shared" si="129"/>
        <v>0</v>
      </c>
      <c r="L253" s="95" t="str">
        <f t="shared" si="129"/>
        <v>-</v>
      </c>
      <c r="M253" s="95" t="str">
        <f t="shared" si="129"/>
        <v>-</v>
      </c>
      <c r="N253" s="95" t="str">
        <f t="shared" si="129"/>
        <v>-</v>
      </c>
      <c r="O253" s="95" t="str">
        <f t="shared" si="129"/>
        <v>-</v>
      </c>
      <c r="P253" s="95" t="str">
        <f t="shared" si="129"/>
        <v>-</v>
      </c>
      <c r="Q253" s="95" t="str">
        <f t="shared" si="129"/>
        <v>-</v>
      </c>
      <c r="R253" s="95" t="str">
        <f t="shared" si="129"/>
        <v>-</v>
      </c>
      <c r="S253" s="95" t="str">
        <f t="shared" si="129"/>
        <v>-</v>
      </c>
      <c r="T253" s="95" t="str">
        <f t="shared" si="129"/>
        <v>-</v>
      </c>
    </row>
    <row r="254" spans="4:20" ht="14.25" outlineLevel="2">
      <c r="D254" s="13" t="s">
        <v>403</v>
      </c>
      <c r="E254" s="401" t="s">
        <v>427</v>
      </c>
      <c r="F254" s="111">
        <f t="shared" si="128"/>
        <v>0.16417366331917352</v>
      </c>
      <c r="G254" s="111">
        <f t="shared" si="128"/>
        <v>2.3024859627882925</v>
      </c>
      <c r="H254" s="112">
        <f t="shared" si="128"/>
        <v>0.6411052631578947</v>
      </c>
      <c r="I254" s="97">
        <f t="shared" si="128"/>
        <v>0</v>
      </c>
      <c r="J254" s="98" t="str">
        <f aca="true" t="shared" si="130" ref="J254:T254">+IF(I72&lt;&gt;0,J72/I72,"-")</f>
        <v>-</v>
      </c>
      <c r="K254" s="98">
        <f t="shared" si="130"/>
        <v>1.4494830340808438</v>
      </c>
      <c r="L254" s="98">
        <f t="shared" si="130"/>
        <v>0</v>
      </c>
      <c r="M254" s="98" t="str">
        <f t="shared" si="130"/>
        <v>-</v>
      </c>
      <c r="N254" s="98" t="str">
        <f t="shared" si="130"/>
        <v>-</v>
      </c>
      <c r="O254" s="98" t="str">
        <f t="shared" si="130"/>
        <v>-</v>
      </c>
      <c r="P254" s="98" t="str">
        <f t="shared" si="130"/>
        <v>-</v>
      </c>
      <c r="Q254" s="98" t="str">
        <f t="shared" si="130"/>
        <v>-</v>
      </c>
      <c r="R254" s="98" t="str">
        <f t="shared" si="130"/>
        <v>-</v>
      </c>
      <c r="S254" s="98" t="str">
        <f t="shared" si="130"/>
        <v>-</v>
      </c>
      <c r="T254" s="98" t="str">
        <f t="shared" si="130"/>
        <v>-</v>
      </c>
    </row>
  </sheetData>
  <sheetProtection formatCells="0" formatColumns="0" formatRows="0" insertColumns="0" deleteColumns="0"/>
  <autoFilter ref="A9:A104"/>
  <mergeCells count="2">
    <mergeCell ref="E8:F8"/>
    <mergeCell ref="R8:S8"/>
  </mergeCells>
  <conditionalFormatting sqref="I234:T249 I251:T254">
    <cfRule type="cellIs" priority="6" dxfId="13" operator="equal" stopIfTrue="1">
      <formula>"-"</formula>
    </cfRule>
    <cfRule type="cellIs" priority="81" dxfId="12" operator="between" stopIfTrue="1">
      <formula>0.00000001</formula>
      <formula>1</formula>
    </cfRule>
    <cfRule type="cellIs" priority="82" dxfId="11" operator="greaterThan" stopIfTrue="1">
      <formula>1</formula>
    </cfRule>
  </conditionalFormatting>
  <conditionalFormatting sqref="I63:T64">
    <cfRule type="expression" priority="30" dxfId="32" stopIfTrue="1">
      <formula>LEFT(I63,3)="Nie"</formula>
    </cfRule>
  </conditionalFormatting>
  <conditionalFormatting sqref="I194:T205">
    <cfRule type="cellIs" priority="7" dxfId="33" operator="notBetween" stopIfTrue="1">
      <formula>-$D$193</formula>
      <formula>$D$193</formula>
    </cfRule>
    <cfRule type="cellIs" priority="91" dxfId="9" operator="notBetween" stopIfTrue="1">
      <formula>-$D$192</formula>
      <formula>$D$192</formula>
    </cfRule>
    <cfRule type="cellIs" priority="92" dxfId="8" operator="notBetween" stopIfTrue="1">
      <formula>-$D$191</formula>
      <formula>$D$191</formula>
    </cfRule>
  </conditionalFormatting>
  <conditionalFormatting sqref="I124:T124">
    <cfRule type="cellIs" priority="4" dxfId="34" operator="between" stopIfTrue="1">
      <formula>0</formula>
      <formula>1000000000000</formula>
    </cfRule>
  </conditionalFormatting>
  <conditionalFormatting sqref="I125:T127">
    <cfRule type="cellIs" priority="3" dxfId="34" operator="between" stopIfTrue="1">
      <formula>-1000000000000</formula>
      <formula>1000000000000</formula>
    </cfRule>
  </conditionalFormatting>
  <conditionalFormatting sqref="I122:T123">
    <cfRule type="cellIs" priority="2" dxfId="35" operator="between" stopIfTrue="1">
      <formula>-1000000000000</formula>
      <formula>1000000000000</formula>
    </cfRule>
  </conditionalFormatting>
  <conditionalFormatting sqref="I128:T172">
    <cfRule type="cellIs" priority="1" dxfId="5" operator="equal" stopIfTrue="1">
      <formula>"BŁĄD"</formula>
    </cfRule>
  </conditionalFormatting>
  <conditionalFormatting sqref="I186:T189">
    <cfRule type="cellIs" priority="50" dxfId="36" operator="lessThan" stopIfTrue="1">
      <formula>$D$183</formula>
    </cfRule>
    <cfRule type="cellIs" priority="51" dxfId="3" operator="lessThan" stopIfTrue="1">
      <formula>$D$184</formula>
    </cfRule>
    <cfRule type="cellIs" priority="52" dxfId="2" operator="lessThan" stopIfTrue="1">
      <formula>$D$185</formula>
    </cfRule>
  </conditionalFormatting>
  <printOptions/>
  <pageMargins left="0.45" right="0.35" top="0.4724409448818898" bottom="0.4724409448818898" header="0.31496062992125984" footer="0.31496062992125984"/>
  <pageSetup blackAndWhite="1" horizontalDpi="600" verticalDpi="600" orientation="landscape" paperSize="9" scale="60" r:id="rId1"/>
  <headerFooter>
    <oddFooter>&amp;L&amp;"Czcionka tekstu podstawowego,Kursywa"&amp;8Wersja szablonu wydruku: 2013-03-1c&amp;C&amp;8Strona &amp;P z &amp;N&amp;R&amp;8Wydruk z dn.: &amp;D - &amp;T</oddFooter>
  </headerFooter>
  <rowBreaks count="2" manualBreakCount="2">
    <brk id="48" min="1" max="39" man="1"/>
    <brk id="75" min="1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116"/>
  <sheetViews>
    <sheetView zoomScalePageLayoutView="0" workbookViewId="0" topLeftCell="A1">
      <selection activeCell="A1" sqref="A1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34</v>
      </c>
      <c r="I1" s="174" t="str">
        <f>'Zał.1_WPF_bazowy'!J5&amp;" - "&amp;"WPF za lata "&amp;'Zał.1_WPF_bazowy'!J6&amp;" - Nr Uchwały JST: "&amp;'Zał.1_WPF_bazowy'!J4</f>
        <v>KLESZCZEWO - WPF za lata 2013 - 2024 - Nr Uchwały JST: Zarządzenie Nr 20/2013</v>
      </c>
    </row>
    <row r="99" spans="2:9" ht="15">
      <c r="B99" s="3" t="s">
        <v>41</v>
      </c>
      <c r="I99" s="3" t="s">
        <v>41</v>
      </c>
    </row>
    <row r="116" spans="2:9" ht="15">
      <c r="B116" s="3" t="s">
        <v>42</v>
      </c>
      <c r="I116" s="3" t="s">
        <v>42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&amp;CStrona &amp;P z &amp;N</oddFooter>
  </headerFooter>
  <rowBreaks count="3" manualBreakCount="3">
    <brk id="34" max="255" man="1"/>
    <brk id="82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>
    <tabColor rgb="FFFFC000"/>
    <outlinePr summaryBelow="0"/>
  </sheetPr>
  <dimension ref="A1:IS253"/>
  <sheetViews>
    <sheetView tabSelected="1" zoomScale="110" zoomScaleNormal="110" zoomScaleSheetLayoutView="100" zoomScalePageLayoutView="0" workbookViewId="0" topLeftCell="A1">
      <pane xSplit="4" ySplit="9" topLeftCell="G69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J6" sqref="J6"/>
    </sheetView>
  </sheetViews>
  <sheetFormatPr defaultColWidth="8.796875" defaultRowHeight="14.25" outlineLevelRow="3" outlineLevelCol="1"/>
  <cols>
    <col min="1" max="1" width="4.3984375" style="120" hidden="1" customWidth="1" outlineLevel="1"/>
    <col min="2" max="2" width="6.59765625" style="119" customWidth="1" collapsed="1"/>
    <col min="3" max="3" width="47.8984375" style="119" hidden="1" customWidth="1" outlineLevel="1"/>
    <col min="4" max="4" width="70.59765625" style="119" customWidth="1" collapsed="1"/>
    <col min="5" max="8" width="14.3984375" style="119" customWidth="1" outlineLevel="1"/>
    <col min="9" max="38" width="14.3984375" style="119" customWidth="1"/>
    <col min="39" max="16384" width="9" style="120" customWidth="1"/>
  </cols>
  <sheetData>
    <row r="1" spans="2:16" ht="14.25">
      <c r="B1" s="116" t="s">
        <v>425</v>
      </c>
      <c r="C1" s="116"/>
      <c r="D1" s="117"/>
      <c r="E1" s="118"/>
      <c r="F1" s="425" t="s">
        <v>447</v>
      </c>
      <c r="G1" s="425"/>
      <c r="H1" s="425"/>
      <c r="I1" s="425"/>
      <c r="J1" s="425"/>
      <c r="K1" s="425"/>
      <c r="L1" s="425"/>
      <c r="M1" s="425"/>
      <c r="N1" s="425"/>
      <c r="O1" s="425"/>
      <c r="P1" s="425"/>
    </row>
    <row r="2" spans="2:16" ht="14.25">
      <c r="B2" s="116" t="s">
        <v>426</v>
      </c>
      <c r="C2" s="116"/>
      <c r="D2" s="117"/>
      <c r="E2" s="118"/>
      <c r="F2" s="426" t="s">
        <v>448</v>
      </c>
      <c r="G2" s="426"/>
      <c r="H2" s="426"/>
      <c r="I2" s="426"/>
      <c r="J2" s="426"/>
      <c r="K2" s="426"/>
      <c r="L2" s="426"/>
      <c r="M2" s="426"/>
      <c r="N2" s="426"/>
      <c r="O2" s="426"/>
      <c r="P2" s="426"/>
    </row>
    <row r="3" spans="2:16" ht="14.25">
      <c r="B3" s="121" t="s">
        <v>277</v>
      </c>
      <c r="C3" s="116"/>
      <c r="D3" s="117"/>
      <c r="E3" s="118"/>
      <c r="F3" s="427" t="s">
        <v>422</v>
      </c>
      <c r="G3" s="427"/>
      <c r="H3" s="427"/>
      <c r="I3" s="427"/>
      <c r="J3" s="427"/>
      <c r="K3" s="427"/>
      <c r="L3" s="427"/>
      <c r="M3" s="427"/>
      <c r="N3" s="427"/>
      <c r="O3" s="427"/>
      <c r="P3" s="427"/>
    </row>
    <row r="4" spans="3:10" ht="14.25">
      <c r="C4" s="121"/>
      <c r="D4" s="117"/>
      <c r="E4" s="118"/>
      <c r="F4" s="118"/>
      <c r="G4" s="118"/>
      <c r="H4" s="118"/>
      <c r="I4" s="118"/>
      <c r="J4" s="118"/>
    </row>
    <row r="5" spans="5:253" s="123" customFormat="1" ht="15">
      <c r="E5" s="127" t="str">
        <f>J6&amp;" - "&amp;"WPF za lata "&amp;J7&amp;" - Nr Uchwały JST: "&amp;J5</f>
        <v>KLESZCZEWO - WPF za lata 2013 - 2024 - Nr Uchwały JST: Zarządzenie 20/2013</v>
      </c>
      <c r="F5" s="121"/>
      <c r="G5" s="126"/>
      <c r="I5" s="124" t="s">
        <v>432</v>
      </c>
      <c r="J5" s="125" t="s">
        <v>508</v>
      </c>
      <c r="L5" s="118"/>
      <c r="N5" s="122"/>
      <c r="O5" s="122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</row>
    <row r="6" spans="6:253" s="123" customFormat="1" ht="15">
      <c r="F6" s="128"/>
      <c r="G6" s="129"/>
      <c r="H6" s="129"/>
      <c r="I6" s="124" t="s">
        <v>17</v>
      </c>
      <c r="J6" s="58" t="str">
        <f>DaneZrodlowe!C4</f>
        <v>KLESZCZEWO</v>
      </c>
      <c r="L6" s="118"/>
      <c r="N6" s="122"/>
      <c r="O6" s="122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</row>
    <row r="7" spans="7:253" s="123" customFormat="1" ht="15">
      <c r="G7" s="131"/>
      <c r="H7" s="131"/>
      <c r="I7" s="130" t="s">
        <v>18</v>
      </c>
      <c r="J7" s="59" t="str">
        <f>CONCATENATE(DaneZrodlowe!M1," - ",DaneZrodlowe!P1)</f>
        <v>2013 - 2024</v>
      </c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</row>
    <row r="8" spans="2:253" s="132" customFormat="1" ht="15.75">
      <c r="B8" s="119"/>
      <c r="C8" s="119"/>
      <c r="E8" s="297"/>
      <c r="F8" s="297"/>
      <c r="G8" s="297"/>
      <c r="H8" s="297"/>
      <c r="I8" s="307">
        <f>""</f>
      </c>
      <c r="J8" s="297"/>
      <c r="K8" s="297"/>
      <c r="L8" s="297"/>
      <c r="M8" s="297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</row>
    <row r="9" spans="1:253" s="141" customFormat="1" ht="28.5">
      <c r="A9" s="379" t="s">
        <v>470</v>
      </c>
      <c r="B9" s="39" t="s">
        <v>0</v>
      </c>
      <c r="C9" s="133" t="s">
        <v>405</v>
      </c>
      <c r="D9" s="349" t="s">
        <v>1</v>
      </c>
      <c r="E9" s="134" t="s">
        <v>273</v>
      </c>
      <c r="F9" s="135" t="s">
        <v>272</v>
      </c>
      <c r="G9" s="135" t="s">
        <v>450</v>
      </c>
      <c r="H9" s="136" t="s">
        <v>271</v>
      </c>
      <c r="I9" s="137">
        <f>+definicja!E9</f>
        <v>2013</v>
      </c>
      <c r="J9" s="138">
        <f>+definicja!F9</f>
        <v>2014</v>
      </c>
      <c r="K9" s="138">
        <f>+definicja!G9</f>
        <v>2015</v>
      </c>
      <c r="L9" s="138">
        <f>+definicja!H9</f>
        <v>2016</v>
      </c>
      <c r="M9" s="138">
        <f>+definicja!I9</f>
        <v>2017</v>
      </c>
      <c r="N9" s="138">
        <f>+definicja!J9</f>
        <v>2018</v>
      </c>
      <c r="O9" s="138">
        <f>+definicja!K9</f>
        <v>2019</v>
      </c>
      <c r="P9" s="138">
        <f>+definicja!L9</f>
        <v>2020</v>
      </c>
      <c r="Q9" s="138">
        <f>+definicja!M9</f>
        <v>2021</v>
      </c>
      <c r="R9" s="138">
        <f>+definicja!N9</f>
        <v>2022</v>
      </c>
      <c r="S9" s="138">
        <f>+definicja!O9</f>
        <v>2023</v>
      </c>
      <c r="T9" s="138">
        <f>+definicja!P9</f>
        <v>2024</v>
      </c>
      <c r="U9" s="138">
        <f>+definicja!Q9</f>
        <v>2025</v>
      </c>
      <c r="V9" s="138">
        <f>+definicja!R9</f>
        <v>2026</v>
      </c>
      <c r="W9" s="138">
        <f>+definicja!S9</f>
        <v>2027</v>
      </c>
      <c r="X9" s="138">
        <f>+definicja!T9</f>
        <v>2028</v>
      </c>
      <c r="Y9" s="138">
        <f>+definicja!U9</f>
        <v>2029</v>
      </c>
      <c r="Z9" s="138">
        <f>+definicja!V9</f>
        <v>2030</v>
      </c>
      <c r="AA9" s="138">
        <f>+definicja!W9</f>
        <v>2031</v>
      </c>
      <c r="AB9" s="138">
        <f>+definicja!X9</f>
        <v>2032</v>
      </c>
      <c r="AC9" s="138">
        <f>+definicja!Y9</f>
        <v>2033</v>
      </c>
      <c r="AD9" s="138">
        <f>+definicja!Z9</f>
        <v>2034</v>
      </c>
      <c r="AE9" s="138">
        <f>+definicja!AA9</f>
        <v>2035</v>
      </c>
      <c r="AF9" s="138">
        <f>+definicja!AB9</f>
        <v>2036</v>
      </c>
      <c r="AG9" s="138">
        <f>+definicja!AC9</f>
        <v>2037</v>
      </c>
      <c r="AH9" s="138">
        <f>+definicja!AD9</f>
        <v>2038</v>
      </c>
      <c r="AI9" s="138">
        <f>+definicja!AE9</f>
        <v>2039</v>
      </c>
      <c r="AJ9" s="138">
        <f>+definicja!AF9</f>
        <v>2040</v>
      </c>
      <c r="AK9" s="138">
        <f>+definicja!AG9</f>
        <v>2041</v>
      </c>
      <c r="AL9" s="139">
        <f>+definicja!AH9</f>
        <v>2042</v>
      </c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  <c r="IR9" s="140"/>
      <c r="IS9" s="140"/>
    </row>
    <row r="10" spans="1:38" s="142" customFormat="1" ht="15" outlineLevel="1">
      <c r="A10" s="374" t="s">
        <v>31</v>
      </c>
      <c r="B10" s="45">
        <v>1</v>
      </c>
      <c r="C10" s="256" t="s">
        <v>406</v>
      </c>
      <c r="D10" s="352" t="s">
        <v>26</v>
      </c>
      <c r="E10" s="244">
        <f>'Zał.1_WPF_bazowy'!E10</f>
        <v>17694090.44</v>
      </c>
      <c r="F10" s="245">
        <f>'Zał.1_WPF_bazowy'!F10</f>
        <v>19338026.07</v>
      </c>
      <c r="G10" s="245">
        <f>'Zał.1_WPF_bazowy'!G10</f>
        <v>25997535</v>
      </c>
      <c r="H10" s="115">
        <f>+H11+H18</f>
        <v>24644334.580000002</v>
      </c>
      <c r="I10" s="113">
        <f>+I11+I18</f>
        <v>22025356.34</v>
      </c>
      <c r="J10" s="114">
        <f aca="true" t="shared" si="0" ref="J10:AL10">+J11+J18</f>
        <v>19850045</v>
      </c>
      <c r="K10" s="114">
        <f t="shared" si="0"/>
        <v>20979000</v>
      </c>
      <c r="L10" s="114">
        <f t="shared" si="0"/>
        <v>20700000</v>
      </c>
      <c r="M10" s="114">
        <f t="shared" si="0"/>
        <v>21300000</v>
      </c>
      <c r="N10" s="114">
        <f t="shared" si="0"/>
        <v>21900000</v>
      </c>
      <c r="O10" s="114">
        <f t="shared" si="0"/>
        <v>22500000</v>
      </c>
      <c r="P10" s="114">
        <f t="shared" si="0"/>
        <v>23000000</v>
      </c>
      <c r="Q10" s="114">
        <f t="shared" si="0"/>
        <v>23468000</v>
      </c>
      <c r="R10" s="114">
        <f t="shared" si="0"/>
        <v>23937000</v>
      </c>
      <c r="S10" s="114">
        <f t="shared" si="0"/>
        <v>24416000</v>
      </c>
      <c r="T10" s="114">
        <f t="shared" si="0"/>
        <v>24900000</v>
      </c>
      <c r="U10" s="114" t="e">
        <f t="shared" si="0"/>
        <v>#REF!</v>
      </c>
      <c r="V10" s="114" t="e">
        <f t="shared" si="0"/>
        <v>#REF!</v>
      </c>
      <c r="W10" s="114" t="e">
        <f t="shared" si="0"/>
        <v>#REF!</v>
      </c>
      <c r="X10" s="114" t="e">
        <f t="shared" si="0"/>
        <v>#REF!</v>
      </c>
      <c r="Y10" s="114" t="e">
        <f t="shared" si="0"/>
        <v>#REF!</v>
      </c>
      <c r="Z10" s="114" t="e">
        <f t="shared" si="0"/>
        <v>#REF!</v>
      </c>
      <c r="AA10" s="114" t="e">
        <f t="shared" si="0"/>
        <v>#REF!</v>
      </c>
      <c r="AB10" s="114" t="e">
        <f t="shared" si="0"/>
        <v>#REF!</v>
      </c>
      <c r="AC10" s="114" t="e">
        <f t="shared" si="0"/>
        <v>#REF!</v>
      </c>
      <c r="AD10" s="114" t="e">
        <f t="shared" si="0"/>
        <v>#REF!</v>
      </c>
      <c r="AE10" s="114" t="e">
        <f t="shared" si="0"/>
        <v>#REF!</v>
      </c>
      <c r="AF10" s="114" t="e">
        <f t="shared" si="0"/>
        <v>#REF!</v>
      </c>
      <c r="AG10" s="114" t="e">
        <f t="shared" si="0"/>
        <v>#REF!</v>
      </c>
      <c r="AH10" s="114" t="e">
        <f t="shared" si="0"/>
        <v>#REF!</v>
      </c>
      <c r="AI10" s="114" t="e">
        <f t="shared" si="0"/>
        <v>#REF!</v>
      </c>
      <c r="AJ10" s="114" t="e">
        <f t="shared" si="0"/>
        <v>#REF!</v>
      </c>
      <c r="AK10" s="114" t="e">
        <f t="shared" si="0"/>
        <v>#REF!</v>
      </c>
      <c r="AL10" s="115" t="e">
        <f t="shared" si="0"/>
        <v>#REF!</v>
      </c>
    </row>
    <row r="11" spans="1:38" ht="14.25" outlineLevel="2">
      <c r="A11" s="374" t="s">
        <v>31</v>
      </c>
      <c r="B11" s="46" t="s">
        <v>164</v>
      </c>
      <c r="C11" s="257"/>
      <c r="D11" s="354" t="s">
        <v>226</v>
      </c>
      <c r="E11" s="246">
        <f>'Zał.1_WPF_bazowy'!E11</f>
        <v>15865836.94</v>
      </c>
      <c r="F11" s="247">
        <f>'Zał.1_WPF_bazowy'!F11</f>
        <v>17910350.27</v>
      </c>
      <c r="G11" s="247">
        <f>'Zał.1_WPF_bazowy'!G11</f>
        <v>17642438</v>
      </c>
      <c r="H11" s="308">
        <f>'Zał.1_WPF_bazowy'!H11</f>
        <v>17734513.03</v>
      </c>
      <c r="I11" s="309">
        <f>+'Zał.1_WPF_bazowy'!I11</f>
        <v>19306623.34</v>
      </c>
      <c r="J11" s="310">
        <f>+'Zał.1_WPF_bazowy'!J11</f>
        <v>19300045</v>
      </c>
      <c r="K11" s="310">
        <f>+'Zał.1_WPF_bazowy'!K11</f>
        <v>20100000</v>
      </c>
      <c r="L11" s="310">
        <f>+'Zał.1_WPF_bazowy'!L11</f>
        <v>20700000</v>
      </c>
      <c r="M11" s="310">
        <f>+'Zał.1_WPF_bazowy'!M11</f>
        <v>21300000</v>
      </c>
      <c r="N11" s="310">
        <f>+'Zał.1_WPF_bazowy'!N11</f>
        <v>21900000</v>
      </c>
      <c r="O11" s="310">
        <f>+'Zał.1_WPF_bazowy'!O11</f>
        <v>22500000</v>
      </c>
      <c r="P11" s="310">
        <f>+'Zał.1_WPF_bazowy'!P11</f>
        <v>23000000</v>
      </c>
      <c r="Q11" s="310">
        <f>+'Zał.1_WPF_bazowy'!Q11</f>
        <v>23468000</v>
      </c>
      <c r="R11" s="310">
        <f>+'Zał.1_WPF_bazowy'!R11</f>
        <v>23937000</v>
      </c>
      <c r="S11" s="310">
        <f>+'Zał.1_WPF_bazowy'!S11</f>
        <v>24416000</v>
      </c>
      <c r="T11" s="310">
        <f>+'Zał.1_WPF_bazowy'!T11</f>
        <v>24900000</v>
      </c>
      <c r="U11" s="310" t="e">
        <f>+'Zał.1_WPF_bazowy'!#REF!</f>
        <v>#REF!</v>
      </c>
      <c r="V11" s="310" t="e">
        <f>+'Zał.1_WPF_bazowy'!#REF!</f>
        <v>#REF!</v>
      </c>
      <c r="W11" s="310" t="e">
        <f>+'Zał.1_WPF_bazowy'!#REF!</f>
        <v>#REF!</v>
      </c>
      <c r="X11" s="310" t="e">
        <f>+'Zał.1_WPF_bazowy'!#REF!</f>
        <v>#REF!</v>
      </c>
      <c r="Y11" s="310" t="e">
        <f>+'Zał.1_WPF_bazowy'!#REF!</f>
        <v>#REF!</v>
      </c>
      <c r="Z11" s="310" t="e">
        <f>+'Zał.1_WPF_bazowy'!#REF!</f>
        <v>#REF!</v>
      </c>
      <c r="AA11" s="310" t="e">
        <f>+'Zał.1_WPF_bazowy'!#REF!</f>
        <v>#REF!</v>
      </c>
      <c r="AB11" s="310" t="e">
        <f>+'Zał.1_WPF_bazowy'!#REF!</f>
        <v>#REF!</v>
      </c>
      <c r="AC11" s="310" t="e">
        <f>+'Zał.1_WPF_bazowy'!#REF!</f>
        <v>#REF!</v>
      </c>
      <c r="AD11" s="310" t="e">
        <f>+'Zał.1_WPF_bazowy'!#REF!</f>
        <v>#REF!</v>
      </c>
      <c r="AE11" s="310" t="e">
        <f>+'Zał.1_WPF_bazowy'!#REF!</f>
        <v>#REF!</v>
      </c>
      <c r="AF11" s="310" t="e">
        <f>+'Zał.1_WPF_bazowy'!#REF!</f>
        <v>#REF!</v>
      </c>
      <c r="AG11" s="310" t="e">
        <f>+'Zał.1_WPF_bazowy'!#REF!</f>
        <v>#REF!</v>
      </c>
      <c r="AH11" s="310" t="e">
        <f>+'Zał.1_WPF_bazowy'!#REF!</f>
        <v>#REF!</v>
      </c>
      <c r="AI11" s="310" t="e">
        <f>+'Zał.1_WPF_bazowy'!#REF!</f>
        <v>#REF!</v>
      </c>
      <c r="AJ11" s="310" t="e">
        <f>+'Zał.1_WPF_bazowy'!#REF!</f>
        <v>#REF!</v>
      </c>
      <c r="AK11" s="310" t="e">
        <f>+'Zał.1_WPF_bazowy'!#REF!</f>
        <v>#REF!</v>
      </c>
      <c r="AL11" s="311" t="e">
        <f>+'Zał.1_WPF_bazowy'!#REF!</f>
        <v>#REF!</v>
      </c>
    </row>
    <row r="12" spans="1:38" ht="14.25" outlineLevel="2">
      <c r="A12" s="374"/>
      <c r="B12" s="46" t="s">
        <v>44</v>
      </c>
      <c r="C12" s="257"/>
      <c r="D12" s="355" t="s">
        <v>215</v>
      </c>
      <c r="E12" s="246">
        <f>'Zał.1_WPF_bazowy'!E12</f>
        <v>0</v>
      </c>
      <c r="F12" s="247">
        <f>'Zał.1_WPF_bazowy'!F12</f>
        <v>0</v>
      </c>
      <c r="G12" s="247">
        <f>'Zał.1_WPF_bazowy'!G12</f>
        <v>0</v>
      </c>
      <c r="H12" s="308">
        <f>'Zał.1_WPF_bazowy'!H12</f>
        <v>0</v>
      </c>
      <c r="I12" s="309">
        <f>+'Zał.1_WPF_bazowy'!I12</f>
        <v>5427668</v>
      </c>
      <c r="J12" s="310">
        <f>+'Zał.1_WPF_bazowy'!J12</f>
        <v>5862000</v>
      </c>
      <c r="K12" s="310">
        <f>+'Zał.1_WPF_bazowy'!K12</f>
        <v>6330000</v>
      </c>
      <c r="L12" s="310">
        <f>+'Zał.1_WPF_bazowy'!L12</f>
        <v>5774000</v>
      </c>
      <c r="M12" s="310">
        <f>+'Zał.1_WPF_bazowy'!M12</f>
        <v>0</v>
      </c>
      <c r="N12" s="310">
        <f>+'Zał.1_WPF_bazowy'!N12</f>
        <v>0</v>
      </c>
      <c r="O12" s="310">
        <f>+'Zał.1_WPF_bazowy'!O12</f>
        <v>0</v>
      </c>
      <c r="P12" s="310">
        <f>+'Zał.1_WPF_bazowy'!P12</f>
        <v>0</v>
      </c>
      <c r="Q12" s="310">
        <f>+'Zał.1_WPF_bazowy'!Q12</f>
        <v>0</v>
      </c>
      <c r="R12" s="310">
        <f>+'Zał.1_WPF_bazowy'!R12</f>
        <v>0</v>
      </c>
      <c r="S12" s="310">
        <f>+'Zał.1_WPF_bazowy'!S12</f>
        <v>0</v>
      </c>
      <c r="T12" s="310">
        <f>+'Zał.1_WPF_bazowy'!T12</f>
        <v>0</v>
      </c>
      <c r="U12" s="310" t="e">
        <f>+'Zał.1_WPF_bazowy'!#REF!</f>
        <v>#REF!</v>
      </c>
      <c r="V12" s="310" t="e">
        <f>+'Zał.1_WPF_bazowy'!#REF!</f>
        <v>#REF!</v>
      </c>
      <c r="W12" s="310" t="e">
        <f>+'Zał.1_WPF_bazowy'!#REF!</f>
        <v>#REF!</v>
      </c>
      <c r="X12" s="310" t="e">
        <f>+'Zał.1_WPF_bazowy'!#REF!</f>
        <v>#REF!</v>
      </c>
      <c r="Y12" s="310" t="e">
        <f>+'Zał.1_WPF_bazowy'!#REF!</f>
        <v>#REF!</v>
      </c>
      <c r="Z12" s="310" t="e">
        <f>+'Zał.1_WPF_bazowy'!#REF!</f>
        <v>#REF!</v>
      </c>
      <c r="AA12" s="310" t="e">
        <f>+'Zał.1_WPF_bazowy'!#REF!</f>
        <v>#REF!</v>
      </c>
      <c r="AB12" s="310" t="e">
        <f>+'Zał.1_WPF_bazowy'!#REF!</f>
        <v>#REF!</v>
      </c>
      <c r="AC12" s="310" t="e">
        <f>+'Zał.1_WPF_bazowy'!#REF!</f>
        <v>#REF!</v>
      </c>
      <c r="AD12" s="310" t="e">
        <f>+'Zał.1_WPF_bazowy'!#REF!</f>
        <v>#REF!</v>
      </c>
      <c r="AE12" s="310" t="e">
        <f>+'Zał.1_WPF_bazowy'!#REF!</f>
        <v>#REF!</v>
      </c>
      <c r="AF12" s="310" t="e">
        <f>+'Zał.1_WPF_bazowy'!#REF!</f>
        <v>#REF!</v>
      </c>
      <c r="AG12" s="310" t="e">
        <f>+'Zał.1_WPF_bazowy'!#REF!</f>
        <v>#REF!</v>
      </c>
      <c r="AH12" s="310" t="e">
        <f>+'Zał.1_WPF_bazowy'!#REF!</f>
        <v>#REF!</v>
      </c>
      <c r="AI12" s="310" t="e">
        <f>+'Zał.1_WPF_bazowy'!#REF!</f>
        <v>#REF!</v>
      </c>
      <c r="AJ12" s="310" t="e">
        <f>+'Zał.1_WPF_bazowy'!#REF!</f>
        <v>#REF!</v>
      </c>
      <c r="AK12" s="310" t="e">
        <f>+'Zał.1_WPF_bazowy'!#REF!</f>
        <v>#REF!</v>
      </c>
      <c r="AL12" s="311" t="e">
        <f>+'Zał.1_WPF_bazowy'!#REF!</f>
        <v>#REF!</v>
      </c>
    </row>
    <row r="13" spans="1:38" ht="14.25" outlineLevel="2">
      <c r="A13" s="374"/>
      <c r="B13" s="46" t="s">
        <v>46</v>
      </c>
      <c r="C13" s="257"/>
      <c r="D13" s="355" t="s">
        <v>216</v>
      </c>
      <c r="E13" s="246">
        <f>'Zał.1_WPF_bazowy'!E13</f>
        <v>0</v>
      </c>
      <c r="F13" s="247">
        <f>'Zał.1_WPF_bazowy'!F13</f>
        <v>0</v>
      </c>
      <c r="G13" s="247">
        <f>'Zał.1_WPF_bazowy'!G13</f>
        <v>0</v>
      </c>
      <c r="H13" s="308">
        <f>'Zał.1_WPF_bazowy'!H13</f>
        <v>0</v>
      </c>
      <c r="I13" s="309">
        <f>+'Zał.1_WPF_bazowy'!I13</f>
        <v>74400</v>
      </c>
      <c r="J13" s="310">
        <f>+'Zał.1_WPF_bazowy'!J13</f>
        <v>80000</v>
      </c>
      <c r="K13" s="310">
        <f>+'Zał.1_WPF_bazowy'!K13</f>
        <v>80000</v>
      </c>
      <c r="L13" s="310">
        <f>+'Zał.1_WPF_bazowy'!L13</f>
        <v>81600</v>
      </c>
      <c r="M13" s="310">
        <f>+'Zał.1_WPF_bazowy'!M13</f>
        <v>0</v>
      </c>
      <c r="N13" s="310">
        <f>+'Zał.1_WPF_bazowy'!N13</f>
        <v>0</v>
      </c>
      <c r="O13" s="310">
        <f>+'Zał.1_WPF_bazowy'!O13</f>
        <v>0</v>
      </c>
      <c r="P13" s="310">
        <f>+'Zał.1_WPF_bazowy'!P13</f>
        <v>0</v>
      </c>
      <c r="Q13" s="310">
        <f>+'Zał.1_WPF_bazowy'!Q13</f>
        <v>0</v>
      </c>
      <c r="R13" s="310">
        <f>+'Zał.1_WPF_bazowy'!R13</f>
        <v>0</v>
      </c>
      <c r="S13" s="310">
        <f>+'Zał.1_WPF_bazowy'!S13</f>
        <v>0</v>
      </c>
      <c r="T13" s="310">
        <f>+'Zał.1_WPF_bazowy'!T13</f>
        <v>0</v>
      </c>
      <c r="U13" s="310" t="e">
        <f>+'Zał.1_WPF_bazowy'!#REF!</f>
        <v>#REF!</v>
      </c>
      <c r="V13" s="310" t="e">
        <f>+'Zał.1_WPF_bazowy'!#REF!</f>
        <v>#REF!</v>
      </c>
      <c r="W13" s="310" t="e">
        <f>+'Zał.1_WPF_bazowy'!#REF!</f>
        <v>#REF!</v>
      </c>
      <c r="X13" s="310" t="e">
        <f>+'Zał.1_WPF_bazowy'!#REF!</f>
        <v>#REF!</v>
      </c>
      <c r="Y13" s="310" t="e">
        <f>+'Zał.1_WPF_bazowy'!#REF!</f>
        <v>#REF!</v>
      </c>
      <c r="Z13" s="310" t="e">
        <f>+'Zał.1_WPF_bazowy'!#REF!</f>
        <v>#REF!</v>
      </c>
      <c r="AA13" s="310" t="e">
        <f>+'Zał.1_WPF_bazowy'!#REF!</f>
        <v>#REF!</v>
      </c>
      <c r="AB13" s="310" t="e">
        <f>+'Zał.1_WPF_bazowy'!#REF!</f>
        <v>#REF!</v>
      </c>
      <c r="AC13" s="310" t="e">
        <f>+'Zał.1_WPF_bazowy'!#REF!</f>
        <v>#REF!</v>
      </c>
      <c r="AD13" s="310" t="e">
        <f>+'Zał.1_WPF_bazowy'!#REF!</f>
        <v>#REF!</v>
      </c>
      <c r="AE13" s="310" t="e">
        <f>+'Zał.1_WPF_bazowy'!#REF!</f>
        <v>#REF!</v>
      </c>
      <c r="AF13" s="310" t="e">
        <f>+'Zał.1_WPF_bazowy'!#REF!</f>
        <v>#REF!</v>
      </c>
      <c r="AG13" s="310" t="e">
        <f>+'Zał.1_WPF_bazowy'!#REF!</f>
        <v>#REF!</v>
      </c>
      <c r="AH13" s="310" t="e">
        <f>+'Zał.1_WPF_bazowy'!#REF!</f>
        <v>#REF!</v>
      </c>
      <c r="AI13" s="310" t="e">
        <f>+'Zał.1_WPF_bazowy'!#REF!</f>
        <v>#REF!</v>
      </c>
      <c r="AJ13" s="310" t="e">
        <f>+'Zał.1_WPF_bazowy'!#REF!</f>
        <v>#REF!</v>
      </c>
      <c r="AK13" s="310" t="e">
        <f>+'Zał.1_WPF_bazowy'!#REF!</f>
        <v>#REF!</v>
      </c>
      <c r="AL13" s="311" t="e">
        <f>+'Zał.1_WPF_bazowy'!#REF!</f>
        <v>#REF!</v>
      </c>
    </row>
    <row r="14" spans="1:38" ht="14.25" outlineLevel="2">
      <c r="A14" s="374"/>
      <c r="B14" s="46" t="s">
        <v>48</v>
      </c>
      <c r="C14" s="257"/>
      <c r="D14" s="355" t="s">
        <v>220</v>
      </c>
      <c r="E14" s="246">
        <f>'Zał.1_WPF_bazowy'!E14</f>
        <v>0</v>
      </c>
      <c r="F14" s="247">
        <f>'Zał.1_WPF_bazowy'!F14</f>
        <v>0</v>
      </c>
      <c r="G14" s="247">
        <f>'Zał.1_WPF_bazowy'!G14</f>
        <v>0</v>
      </c>
      <c r="H14" s="308">
        <f>'Zał.1_WPF_bazowy'!H14</f>
        <v>0</v>
      </c>
      <c r="I14" s="309">
        <f>+'Zał.1_WPF_bazowy'!I14</f>
        <v>3784654</v>
      </c>
      <c r="J14" s="310">
        <f>+'Zał.1_WPF_bazowy'!J14</f>
        <v>3887000</v>
      </c>
      <c r="K14" s="310">
        <f>+'Zał.1_WPF_bazowy'!K14</f>
        <v>4004000</v>
      </c>
      <c r="L14" s="310">
        <f>+'Zał.1_WPF_bazowy'!L14</f>
        <v>4125000</v>
      </c>
      <c r="M14" s="310">
        <f>+'Zał.1_WPF_bazowy'!M14</f>
        <v>0</v>
      </c>
      <c r="N14" s="310">
        <f>+'Zał.1_WPF_bazowy'!N14</f>
        <v>0</v>
      </c>
      <c r="O14" s="310">
        <f>+'Zał.1_WPF_bazowy'!O14</f>
        <v>0</v>
      </c>
      <c r="P14" s="310">
        <f>+'Zał.1_WPF_bazowy'!P14</f>
        <v>0</v>
      </c>
      <c r="Q14" s="310">
        <f>+'Zał.1_WPF_bazowy'!Q14</f>
        <v>0</v>
      </c>
      <c r="R14" s="310">
        <f>+'Zał.1_WPF_bazowy'!R14</f>
        <v>0</v>
      </c>
      <c r="S14" s="310">
        <f>+'Zał.1_WPF_bazowy'!S14</f>
        <v>0</v>
      </c>
      <c r="T14" s="310">
        <f>+'Zał.1_WPF_bazowy'!T14</f>
        <v>0</v>
      </c>
      <c r="U14" s="310" t="e">
        <f>+'Zał.1_WPF_bazowy'!#REF!</f>
        <v>#REF!</v>
      </c>
      <c r="V14" s="310" t="e">
        <f>+'Zał.1_WPF_bazowy'!#REF!</f>
        <v>#REF!</v>
      </c>
      <c r="W14" s="310" t="e">
        <f>+'Zał.1_WPF_bazowy'!#REF!</f>
        <v>#REF!</v>
      </c>
      <c r="X14" s="310" t="e">
        <f>+'Zał.1_WPF_bazowy'!#REF!</f>
        <v>#REF!</v>
      </c>
      <c r="Y14" s="310" t="e">
        <f>+'Zał.1_WPF_bazowy'!#REF!</f>
        <v>#REF!</v>
      </c>
      <c r="Z14" s="310" t="e">
        <f>+'Zał.1_WPF_bazowy'!#REF!</f>
        <v>#REF!</v>
      </c>
      <c r="AA14" s="310" t="e">
        <f>+'Zał.1_WPF_bazowy'!#REF!</f>
        <v>#REF!</v>
      </c>
      <c r="AB14" s="310" t="e">
        <f>+'Zał.1_WPF_bazowy'!#REF!</f>
        <v>#REF!</v>
      </c>
      <c r="AC14" s="310" t="e">
        <f>+'Zał.1_WPF_bazowy'!#REF!</f>
        <v>#REF!</v>
      </c>
      <c r="AD14" s="310" t="e">
        <f>+'Zał.1_WPF_bazowy'!#REF!</f>
        <v>#REF!</v>
      </c>
      <c r="AE14" s="310" t="e">
        <f>+'Zał.1_WPF_bazowy'!#REF!</f>
        <v>#REF!</v>
      </c>
      <c r="AF14" s="310" t="e">
        <f>+'Zał.1_WPF_bazowy'!#REF!</f>
        <v>#REF!</v>
      </c>
      <c r="AG14" s="310" t="e">
        <f>+'Zał.1_WPF_bazowy'!#REF!</f>
        <v>#REF!</v>
      </c>
      <c r="AH14" s="310" t="e">
        <f>+'Zał.1_WPF_bazowy'!#REF!</f>
        <v>#REF!</v>
      </c>
      <c r="AI14" s="310" t="e">
        <f>+'Zał.1_WPF_bazowy'!#REF!</f>
        <v>#REF!</v>
      </c>
      <c r="AJ14" s="310" t="e">
        <f>+'Zał.1_WPF_bazowy'!#REF!</f>
        <v>#REF!</v>
      </c>
      <c r="AK14" s="310" t="e">
        <f>+'Zał.1_WPF_bazowy'!#REF!</f>
        <v>#REF!</v>
      </c>
      <c r="AL14" s="311" t="e">
        <f>+'Zał.1_WPF_bazowy'!#REF!</f>
        <v>#REF!</v>
      </c>
    </row>
    <row r="15" spans="1:38" ht="14.25" outlineLevel="2">
      <c r="A15" s="374"/>
      <c r="B15" s="46" t="s">
        <v>50</v>
      </c>
      <c r="C15" s="257"/>
      <c r="D15" s="356" t="s">
        <v>217</v>
      </c>
      <c r="E15" s="246">
        <f>'Zał.1_WPF_bazowy'!E15</f>
        <v>0</v>
      </c>
      <c r="F15" s="247">
        <f>'Zał.1_WPF_bazowy'!F15</f>
        <v>0</v>
      </c>
      <c r="G15" s="247">
        <f>'Zał.1_WPF_bazowy'!G15</f>
        <v>0</v>
      </c>
      <c r="H15" s="308">
        <f>'Zał.1_WPF_bazowy'!H15</f>
        <v>0</v>
      </c>
      <c r="I15" s="309">
        <f>+'Zał.1_WPF_bazowy'!I15</f>
        <v>1954000</v>
      </c>
      <c r="J15" s="310">
        <f>+'Zał.1_WPF_bazowy'!J15</f>
        <v>2012000</v>
      </c>
      <c r="K15" s="310">
        <f>+'Zał.1_WPF_bazowy'!K15</f>
        <v>2073000</v>
      </c>
      <c r="L15" s="310">
        <f>+'Zał.1_WPF_bazowy'!L15</f>
        <v>2135000</v>
      </c>
      <c r="M15" s="310">
        <f>+'Zał.1_WPF_bazowy'!M15</f>
        <v>0</v>
      </c>
      <c r="N15" s="310">
        <f>+'Zał.1_WPF_bazowy'!N15</f>
        <v>0</v>
      </c>
      <c r="O15" s="310">
        <f>+'Zał.1_WPF_bazowy'!O15</f>
        <v>0</v>
      </c>
      <c r="P15" s="310">
        <f>+'Zał.1_WPF_bazowy'!P15</f>
        <v>0</v>
      </c>
      <c r="Q15" s="310">
        <f>+'Zał.1_WPF_bazowy'!Q15</f>
        <v>0</v>
      </c>
      <c r="R15" s="310">
        <f>+'Zał.1_WPF_bazowy'!R15</f>
        <v>0</v>
      </c>
      <c r="S15" s="310">
        <f>+'Zał.1_WPF_bazowy'!S15</f>
        <v>0</v>
      </c>
      <c r="T15" s="310">
        <f>+'Zał.1_WPF_bazowy'!T15</f>
        <v>0</v>
      </c>
      <c r="U15" s="310" t="e">
        <f>+'Zał.1_WPF_bazowy'!#REF!</f>
        <v>#REF!</v>
      </c>
      <c r="V15" s="310" t="e">
        <f>+'Zał.1_WPF_bazowy'!#REF!</f>
        <v>#REF!</v>
      </c>
      <c r="W15" s="310" t="e">
        <f>+'Zał.1_WPF_bazowy'!#REF!</f>
        <v>#REF!</v>
      </c>
      <c r="X15" s="310" t="e">
        <f>+'Zał.1_WPF_bazowy'!#REF!</f>
        <v>#REF!</v>
      </c>
      <c r="Y15" s="310" t="e">
        <f>+'Zał.1_WPF_bazowy'!#REF!</f>
        <v>#REF!</v>
      </c>
      <c r="Z15" s="310" t="e">
        <f>+'Zał.1_WPF_bazowy'!#REF!</f>
        <v>#REF!</v>
      </c>
      <c r="AA15" s="310" t="e">
        <f>+'Zał.1_WPF_bazowy'!#REF!</f>
        <v>#REF!</v>
      </c>
      <c r="AB15" s="310" t="e">
        <f>+'Zał.1_WPF_bazowy'!#REF!</f>
        <v>#REF!</v>
      </c>
      <c r="AC15" s="310" t="e">
        <f>+'Zał.1_WPF_bazowy'!#REF!</f>
        <v>#REF!</v>
      </c>
      <c r="AD15" s="310" t="e">
        <f>+'Zał.1_WPF_bazowy'!#REF!</f>
        <v>#REF!</v>
      </c>
      <c r="AE15" s="310" t="e">
        <f>+'Zał.1_WPF_bazowy'!#REF!</f>
        <v>#REF!</v>
      </c>
      <c r="AF15" s="310" t="e">
        <f>+'Zał.1_WPF_bazowy'!#REF!</f>
        <v>#REF!</v>
      </c>
      <c r="AG15" s="310" t="e">
        <f>+'Zał.1_WPF_bazowy'!#REF!</f>
        <v>#REF!</v>
      </c>
      <c r="AH15" s="310" t="e">
        <f>+'Zał.1_WPF_bazowy'!#REF!</f>
        <v>#REF!</v>
      </c>
      <c r="AI15" s="310" t="e">
        <f>+'Zał.1_WPF_bazowy'!#REF!</f>
        <v>#REF!</v>
      </c>
      <c r="AJ15" s="310" t="e">
        <f>+'Zał.1_WPF_bazowy'!#REF!</f>
        <v>#REF!</v>
      </c>
      <c r="AK15" s="310" t="e">
        <f>+'Zał.1_WPF_bazowy'!#REF!</f>
        <v>#REF!</v>
      </c>
      <c r="AL15" s="311" t="e">
        <f>+'Zał.1_WPF_bazowy'!#REF!</f>
        <v>#REF!</v>
      </c>
    </row>
    <row r="16" spans="1:253" s="132" customFormat="1" ht="15" outlineLevel="2" thickBot="1">
      <c r="A16" s="374"/>
      <c r="B16" s="46" t="s">
        <v>52</v>
      </c>
      <c r="C16" s="257"/>
      <c r="D16" s="355" t="s">
        <v>218</v>
      </c>
      <c r="E16" s="246">
        <f>'Zał.1_WPF_bazowy'!E16</f>
        <v>0</v>
      </c>
      <c r="F16" s="247">
        <f>'Zał.1_WPF_bazowy'!F16</f>
        <v>0</v>
      </c>
      <c r="G16" s="247">
        <f>'Zał.1_WPF_bazowy'!G16</f>
        <v>0</v>
      </c>
      <c r="H16" s="308">
        <f>'Zał.1_WPF_bazowy'!H16</f>
        <v>0</v>
      </c>
      <c r="I16" s="309">
        <f>+'Zał.1_WPF_bazowy'!I16</f>
        <v>7405983</v>
      </c>
      <c r="J16" s="310">
        <f>+'Zał.1_WPF_bazowy'!J16</f>
        <v>7620000</v>
      </c>
      <c r="K16" s="310">
        <f>+'Zał.1_WPF_bazowy'!K16</f>
        <v>7848000</v>
      </c>
      <c r="L16" s="310">
        <f>+'Zał.1_WPF_bazowy'!L16</f>
        <v>8005000</v>
      </c>
      <c r="M16" s="310">
        <f>+'Zał.1_WPF_bazowy'!M16</f>
        <v>0</v>
      </c>
      <c r="N16" s="310">
        <f>+'Zał.1_WPF_bazowy'!N16</f>
        <v>0</v>
      </c>
      <c r="O16" s="310">
        <f>+'Zał.1_WPF_bazowy'!O16</f>
        <v>0</v>
      </c>
      <c r="P16" s="310">
        <f>+'Zał.1_WPF_bazowy'!P16</f>
        <v>0</v>
      </c>
      <c r="Q16" s="310">
        <f>+'Zał.1_WPF_bazowy'!Q16</f>
        <v>0</v>
      </c>
      <c r="R16" s="310">
        <f>+'Zał.1_WPF_bazowy'!R16</f>
        <v>0</v>
      </c>
      <c r="S16" s="310">
        <f>+'Zał.1_WPF_bazowy'!S16</f>
        <v>0</v>
      </c>
      <c r="T16" s="310">
        <f>+'Zał.1_WPF_bazowy'!T16</f>
        <v>0</v>
      </c>
      <c r="U16" s="310" t="e">
        <f>+'Zał.1_WPF_bazowy'!#REF!</f>
        <v>#REF!</v>
      </c>
      <c r="V16" s="310" t="e">
        <f>+'Zał.1_WPF_bazowy'!#REF!</f>
        <v>#REF!</v>
      </c>
      <c r="W16" s="310" t="e">
        <f>+'Zał.1_WPF_bazowy'!#REF!</f>
        <v>#REF!</v>
      </c>
      <c r="X16" s="310" t="e">
        <f>+'Zał.1_WPF_bazowy'!#REF!</f>
        <v>#REF!</v>
      </c>
      <c r="Y16" s="310" t="e">
        <f>+'Zał.1_WPF_bazowy'!#REF!</f>
        <v>#REF!</v>
      </c>
      <c r="Z16" s="310" t="e">
        <f>+'Zał.1_WPF_bazowy'!#REF!</f>
        <v>#REF!</v>
      </c>
      <c r="AA16" s="310" t="e">
        <f>+'Zał.1_WPF_bazowy'!#REF!</f>
        <v>#REF!</v>
      </c>
      <c r="AB16" s="310" t="e">
        <f>+'Zał.1_WPF_bazowy'!#REF!</f>
        <v>#REF!</v>
      </c>
      <c r="AC16" s="310" t="e">
        <f>+'Zał.1_WPF_bazowy'!#REF!</f>
        <v>#REF!</v>
      </c>
      <c r="AD16" s="310" t="e">
        <f>+'Zał.1_WPF_bazowy'!#REF!</f>
        <v>#REF!</v>
      </c>
      <c r="AE16" s="310" t="e">
        <f>+'Zał.1_WPF_bazowy'!#REF!</f>
        <v>#REF!</v>
      </c>
      <c r="AF16" s="310" t="e">
        <f>+'Zał.1_WPF_bazowy'!#REF!</f>
        <v>#REF!</v>
      </c>
      <c r="AG16" s="310" t="e">
        <f>+'Zał.1_WPF_bazowy'!#REF!</f>
        <v>#REF!</v>
      </c>
      <c r="AH16" s="310" t="e">
        <f>+'Zał.1_WPF_bazowy'!#REF!</f>
        <v>#REF!</v>
      </c>
      <c r="AI16" s="310" t="e">
        <f>+'Zał.1_WPF_bazowy'!#REF!</f>
        <v>#REF!</v>
      </c>
      <c r="AJ16" s="310" t="e">
        <f>+'Zał.1_WPF_bazowy'!#REF!</f>
        <v>#REF!</v>
      </c>
      <c r="AK16" s="310" t="e">
        <f>+'Zał.1_WPF_bazowy'!#REF!</f>
        <v>#REF!</v>
      </c>
      <c r="AL16" s="311" t="e">
        <f>+'Zał.1_WPF_bazowy'!#REF!</f>
        <v>#REF!</v>
      </c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  <c r="IR16" s="120"/>
      <c r="IS16" s="120"/>
    </row>
    <row r="17" spans="1:253" s="145" customFormat="1" ht="14.25" outlineLevel="2">
      <c r="A17" s="374"/>
      <c r="B17" s="46" t="s">
        <v>54</v>
      </c>
      <c r="C17" s="257"/>
      <c r="D17" s="355" t="s">
        <v>219</v>
      </c>
      <c r="E17" s="246">
        <f>'Zał.1_WPF_bazowy'!E17</f>
        <v>0</v>
      </c>
      <c r="F17" s="247">
        <f>'Zał.1_WPF_bazowy'!F17</f>
        <v>0</v>
      </c>
      <c r="G17" s="247">
        <f>'Zał.1_WPF_bazowy'!G17</f>
        <v>0</v>
      </c>
      <c r="H17" s="308">
        <f>'Zał.1_WPF_bazowy'!H17</f>
        <v>0</v>
      </c>
      <c r="I17" s="309">
        <f>+'Zał.1_WPF_bazowy'!I17</f>
        <v>2173770</v>
      </c>
      <c r="J17" s="310">
        <f>+'Zał.1_WPF_bazowy'!J17</f>
        <v>1486000</v>
      </c>
      <c r="K17" s="310">
        <f>+'Zał.1_WPF_bazowy'!K17</f>
        <v>1490000</v>
      </c>
      <c r="L17" s="310">
        <f>+'Zał.1_WPF_bazowy'!L17</f>
        <v>1500000</v>
      </c>
      <c r="M17" s="310">
        <f>+'Zał.1_WPF_bazowy'!M17</f>
        <v>0</v>
      </c>
      <c r="N17" s="310">
        <f>+'Zał.1_WPF_bazowy'!N17</f>
        <v>0</v>
      </c>
      <c r="O17" s="310">
        <f>+'Zał.1_WPF_bazowy'!O17</f>
        <v>0</v>
      </c>
      <c r="P17" s="310">
        <f>+'Zał.1_WPF_bazowy'!P17</f>
        <v>0</v>
      </c>
      <c r="Q17" s="310">
        <f>+'Zał.1_WPF_bazowy'!Q17</f>
        <v>0</v>
      </c>
      <c r="R17" s="310">
        <f>+'Zał.1_WPF_bazowy'!R17</f>
        <v>0</v>
      </c>
      <c r="S17" s="310">
        <f>+'Zał.1_WPF_bazowy'!S17</f>
        <v>0</v>
      </c>
      <c r="T17" s="310">
        <f>+'Zał.1_WPF_bazowy'!T17</f>
        <v>0</v>
      </c>
      <c r="U17" s="310" t="e">
        <f>+'Zał.1_WPF_bazowy'!#REF!</f>
        <v>#REF!</v>
      </c>
      <c r="V17" s="310" t="e">
        <f>+'Zał.1_WPF_bazowy'!#REF!</f>
        <v>#REF!</v>
      </c>
      <c r="W17" s="310" t="e">
        <f>+'Zał.1_WPF_bazowy'!#REF!</f>
        <v>#REF!</v>
      </c>
      <c r="X17" s="310" t="e">
        <f>+'Zał.1_WPF_bazowy'!#REF!</f>
        <v>#REF!</v>
      </c>
      <c r="Y17" s="310" t="e">
        <f>+'Zał.1_WPF_bazowy'!#REF!</f>
        <v>#REF!</v>
      </c>
      <c r="Z17" s="310" t="e">
        <f>+'Zał.1_WPF_bazowy'!#REF!</f>
        <v>#REF!</v>
      </c>
      <c r="AA17" s="310" t="e">
        <f>+'Zał.1_WPF_bazowy'!#REF!</f>
        <v>#REF!</v>
      </c>
      <c r="AB17" s="310" t="e">
        <f>+'Zał.1_WPF_bazowy'!#REF!</f>
        <v>#REF!</v>
      </c>
      <c r="AC17" s="310" t="e">
        <f>+'Zał.1_WPF_bazowy'!#REF!</f>
        <v>#REF!</v>
      </c>
      <c r="AD17" s="310" t="e">
        <f>+'Zał.1_WPF_bazowy'!#REF!</f>
        <v>#REF!</v>
      </c>
      <c r="AE17" s="310" t="e">
        <f>+'Zał.1_WPF_bazowy'!#REF!</f>
        <v>#REF!</v>
      </c>
      <c r="AF17" s="310" t="e">
        <f>+'Zał.1_WPF_bazowy'!#REF!</f>
        <v>#REF!</v>
      </c>
      <c r="AG17" s="310" t="e">
        <f>+'Zał.1_WPF_bazowy'!#REF!</f>
        <v>#REF!</v>
      </c>
      <c r="AH17" s="310" t="e">
        <f>+'Zał.1_WPF_bazowy'!#REF!</f>
        <v>#REF!</v>
      </c>
      <c r="AI17" s="310" t="e">
        <f>+'Zał.1_WPF_bazowy'!#REF!</f>
        <v>#REF!</v>
      </c>
      <c r="AJ17" s="310" t="e">
        <f>+'Zał.1_WPF_bazowy'!#REF!</f>
        <v>#REF!</v>
      </c>
      <c r="AK17" s="310" t="e">
        <f>+'Zał.1_WPF_bazowy'!#REF!</f>
        <v>#REF!</v>
      </c>
      <c r="AL17" s="311" t="e">
        <f>+'Zał.1_WPF_bazowy'!#REF!</f>
        <v>#REF!</v>
      </c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</row>
    <row r="18" spans="1:38" ht="14.25" outlineLevel="2">
      <c r="A18" s="374" t="s">
        <v>31</v>
      </c>
      <c r="B18" s="46" t="s">
        <v>165</v>
      </c>
      <c r="C18" s="257"/>
      <c r="D18" s="354" t="s">
        <v>29</v>
      </c>
      <c r="E18" s="246">
        <f>'Zał.1_WPF_bazowy'!E18</f>
        <v>1828253.5</v>
      </c>
      <c r="F18" s="247">
        <f>'Zał.1_WPF_bazowy'!F18</f>
        <v>1427675.8</v>
      </c>
      <c r="G18" s="247">
        <f>'Zał.1_WPF_bazowy'!G18</f>
        <v>8355097</v>
      </c>
      <c r="H18" s="308">
        <f>'Zał.1_WPF_bazowy'!H18</f>
        <v>6909821.55</v>
      </c>
      <c r="I18" s="309">
        <f>+'Zał.1_WPF_bazowy'!I18</f>
        <v>2718733</v>
      </c>
      <c r="J18" s="310">
        <f>+'Zał.1_WPF_bazowy'!J18</f>
        <v>550000</v>
      </c>
      <c r="K18" s="310">
        <f>+'Zał.1_WPF_bazowy'!K18</f>
        <v>879000</v>
      </c>
      <c r="L18" s="310">
        <f>+'Zał.1_WPF_bazowy'!L18</f>
        <v>0</v>
      </c>
      <c r="M18" s="310">
        <f>+'Zał.1_WPF_bazowy'!M18</f>
        <v>0</v>
      </c>
      <c r="N18" s="310">
        <f>+'Zał.1_WPF_bazowy'!N18</f>
        <v>0</v>
      </c>
      <c r="O18" s="310">
        <f>+'Zał.1_WPF_bazowy'!O18</f>
        <v>0</v>
      </c>
      <c r="P18" s="310">
        <f>+'Zał.1_WPF_bazowy'!P18</f>
        <v>0</v>
      </c>
      <c r="Q18" s="310">
        <f>+'Zał.1_WPF_bazowy'!Q18</f>
        <v>0</v>
      </c>
      <c r="R18" s="310">
        <f>+'Zał.1_WPF_bazowy'!R18</f>
        <v>0</v>
      </c>
      <c r="S18" s="310">
        <f>+'Zał.1_WPF_bazowy'!S18</f>
        <v>0</v>
      </c>
      <c r="T18" s="310">
        <f>+'Zał.1_WPF_bazowy'!T18</f>
        <v>0</v>
      </c>
      <c r="U18" s="310" t="e">
        <f>+'Zał.1_WPF_bazowy'!#REF!</f>
        <v>#REF!</v>
      </c>
      <c r="V18" s="310" t="e">
        <f>+'Zał.1_WPF_bazowy'!#REF!</f>
        <v>#REF!</v>
      </c>
      <c r="W18" s="310" t="e">
        <f>+'Zał.1_WPF_bazowy'!#REF!</f>
        <v>#REF!</v>
      </c>
      <c r="X18" s="310" t="e">
        <f>+'Zał.1_WPF_bazowy'!#REF!</f>
        <v>#REF!</v>
      </c>
      <c r="Y18" s="310" t="e">
        <f>+'Zał.1_WPF_bazowy'!#REF!</f>
        <v>#REF!</v>
      </c>
      <c r="Z18" s="310" t="e">
        <f>+'Zał.1_WPF_bazowy'!#REF!</f>
        <v>#REF!</v>
      </c>
      <c r="AA18" s="310" t="e">
        <f>+'Zał.1_WPF_bazowy'!#REF!</f>
        <v>#REF!</v>
      </c>
      <c r="AB18" s="310" t="e">
        <f>+'Zał.1_WPF_bazowy'!#REF!</f>
        <v>#REF!</v>
      </c>
      <c r="AC18" s="310" t="e">
        <f>+'Zał.1_WPF_bazowy'!#REF!</f>
        <v>#REF!</v>
      </c>
      <c r="AD18" s="310" t="e">
        <f>+'Zał.1_WPF_bazowy'!#REF!</f>
        <v>#REF!</v>
      </c>
      <c r="AE18" s="310" t="e">
        <f>+'Zał.1_WPF_bazowy'!#REF!</f>
        <v>#REF!</v>
      </c>
      <c r="AF18" s="310" t="e">
        <f>+'Zał.1_WPF_bazowy'!#REF!</f>
        <v>#REF!</v>
      </c>
      <c r="AG18" s="310" t="e">
        <f>+'Zał.1_WPF_bazowy'!#REF!</f>
        <v>#REF!</v>
      </c>
      <c r="AH18" s="310" t="e">
        <f>+'Zał.1_WPF_bazowy'!#REF!</f>
        <v>#REF!</v>
      </c>
      <c r="AI18" s="310" t="e">
        <f>+'Zał.1_WPF_bazowy'!#REF!</f>
        <v>#REF!</v>
      </c>
      <c r="AJ18" s="310" t="e">
        <f>+'Zał.1_WPF_bazowy'!#REF!</f>
        <v>#REF!</v>
      </c>
      <c r="AK18" s="310" t="e">
        <f>+'Zał.1_WPF_bazowy'!#REF!</f>
        <v>#REF!</v>
      </c>
      <c r="AL18" s="311" t="e">
        <f>+'Zał.1_WPF_bazowy'!#REF!</f>
        <v>#REF!</v>
      </c>
    </row>
    <row r="19" spans="1:38" ht="14.25" outlineLevel="2">
      <c r="A19" s="374" t="s">
        <v>31</v>
      </c>
      <c r="B19" s="46" t="s">
        <v>57</v>
      </c>
      <c r="C19" s="257"/>
      <c r="D19" s="355" t="s">
        <v>30</v>
      </c>
      <c r="E19" s="246">
        <f>'Zał.1_WPF_bazowy'!E19</f>
        <v>735231.84</v>
      </c>
      <c r="F19" s="247">
        <f>'Zał.1_WPF_bazowy'!F19</f>
        <v>609792.02</v>
      </c>
      <c r="G19" s="247">
        <f>'Zał.1_WPF_bazowy'!G19</f>
        <v>2844700</v>
      </c>
      <c r="H19" s="308">
        <f>'Zał.1_WPF_bazowy'!H19</f>
        <v>2244564.3</v>
      </c>
      <c r="I19" s="309">
        <f>+'Zał.1_WPF_bazowy'!I19</f>
        <v>1443196</v>
      </c>
      <c r="J19" s="310">
        <f>+'Zał.1_WPF_bazowy'!J19</f>
        <v>550000</v>
      </c>
      <c r="K19" s="310">
        <f>+'Zał.1_WPF_bazowy'!K19</f>
        <v>326000</v>
      </c>
      <c r="L19" s="310">
        <f>+'Zał.1_WPF_bazowy'!L19</f>
        <v>0</v>
      </c>
      <c r="M19" s="310">
        <f>+'Zał.1_WPF_bazowy'!M19</f>
        <v>0</v>
      </c>
      <c r="N19" s="310">
        <f>+'Zał.1_WPF_bazowy'!N19</f>
        <v>0</v>
      </c>
      <c r="O19" s="310">
        <f>+'Zał.1_WPF_bazowy'!O19</f>
        <v>0</v>
      </c>
      <c r="P19" s="310">
        <f>+'Zał.1_WPF_bazowy'!P19</f>
        <v>0</v>
      </c>
      <c r="Q19" s="310">
        <f>+'Zał.1_WPF_bazowy'!Q19</f>
        <v>0</v>
      </c>
      <c r="R19" s="310">
        <f>+'Zał.1_WPF_bazowy'!R19</f>
        <v>0</v>
      </c>
      <c r="S19" s="310">
        <f>+'Zał.1_WPF_bazowy'!S19</f>
        <v>0</v>
      </c>
      <c r="T19" s="310">
        <f>+'Zał.1_WPF_bazowy'!T19</f>
        <v>0</v>
      </c>
      <c r="U19" s="310" t="e">
        <f>+'Zał.1_WPF_bazowy'!#REF!</f>
        <v>#REF!</v>
      </c>
      <c r="V19" s="310" t="e">
        <f>+'Zał.1_WPF_bazowy'!#REF!</f>
        <v>#REF!</v>
      </c>
      <c r="W19" s="310" t="e">
        <f>+'Zał.1_WPF_bazowy'!#REF!</f>
        <v>#REF!</v>
      </c>
      <c r="X19" s="310" t="e">
        <f>+'Zał.1_WPF_bazowy'!#REF!</f>
        <v>#REF!</v>
      </c>
      <c r="Y19" s="310" t="e">
        <f>+'Zał.1_WPF_bazowy'!#REF!</f>
        <v>#REF!</v>
      </c>
      <c r="Z19" s="310" t="e">
        <f>+'Zał.1_WPF_bazowy'!#REF!</f>
        <v>#REF!</v>
      </c>
      <c r="AA19" s="310" t="e">
        <f>+'Zał.1_WPF_bazowy'!#REF!</f>
        <v>#REF!</v>
      </c>
      <c r="AB19" s="310" t="e">
        <f>+'Zał.1_WPF_bazowy'!#REF!</f>
        <v>#REF!</v>
      </c>
      <c r="AC19" s="310" t="e">
        <f>+'Zał.1_WPF_bazowy'!#REF!</f>
        <v>#REF!</v>
      </c>
      <c r="AD19" s="310" t="e">
        <f>+'Zał.1_WPF_bazowy'!#REF!</f>
        <v>#REF!</v>
      </c>
      <c r="AE19" s="310" t="e">
        <f>+'Zał.1_WPF_bazowy'!#REF!</f>
        <v>#REF!</v>
      </c>
      <c r="AF19" s="310" t="e">
        <f>+'Zał.1_WPF_bazowy'!#REF!</f>
        <v>#REF!</v>
      </c>
      <c r="AG19" s="310" t="e">
        <f>+'Zał.1_WPF_bazowy'!#REF!</f>
        <v>#REF!</v>
      </c>
      <c r="AH19" s="310" t="e">
        <f>+'Zał.1_WPF_bazowy'!#REF!</f>
        <v>#REF!</v>
      </c>
      <c r="AI19" s="310" t="e">
        <f>+'Zał.1_WPF_bazowy'!#REF!</f>
        <v>#REF!</v>
      </c>
      <c r="AJ19" s="310" t="e">
        <f>+'Zał.1_WPF_bazowy'!#REF!</f>
        <v>#REF!</v>
      </c>
      <c r="AK19" s="310" t="e">
        <f>+'Zał.1_WPF_bazowy'!#REF!</f>
        <v>#REF!</v>
      </c>
      <c r="AL19" s="311" t="e">
        <f>+'Zał.1_WPF_bazowy'!#REF!</f>
        <v>#REF!</v>
      </c>
    </row>
    <row r="20" spans="1:38" ht="14.25" outlineLevel="2">
      <c r="A20" s="374"/>
      <c r="B20" s="46" t="s">
        <v>59</v>
      </c>
      <c r="C20" s="257"/>
      <c r="D20" s="355" t="s">
        <v>221</v>
      </c>
      <c r="E20" s="246">
        <f>'Zał.1_WPF_bazowy'!E20</f>
        <v>0</v>
      </c>
      <c r="F20" s="247">
        <f>'Zał.1_WPF_bazowy'!F20</f>
        <v>0</v>
      </c>
      <c r="G20" s="247">
        <f>'Zał.1_WPF_bazowy'!G20</f>
        <v>0</v>
      </c>
      <c r="H20" s="308">
        <f>'Zał.1_WPF_bazowy'!H20</f>
        <v>0</v>
      </c>
      <c r="I20" s="309">
        <f>+'Zał.1_WPF_bazowy'!I20</f>
        <v>1268091</v>
      </c>
      <c r="J20" s="310">
        <f>+'Zał.1_WPF_bazowy'!J20</f>
        <v>0</v>
      </c>
      <c r="K20" s="310">
        <f>+'Zał.1_WPF_bazowy'!K20</f>
        <v>0</v>
      </c>
      <c r="L20" s="310">
        <f>+'Zał.1_WPF_bazowy'!L20</f>
        <v>0</v>
      </c>
      <c r="M20" s="310">
        <f>+'Zał.1_WPF_bazowy'!M20</f>
        <v>0</v>
      </c>
      <c r="N20" s="310">
        <f>+'Zał.1_WPF_bazowy'!N20</f>
        <v>0</v>
      </c>
      <c r="O20" s="310">
        <f>+'Zał.1_WPF_bazowy'!O20</f>
        <v>0</v>
      </c>
      <c r="P20" s="310">
        <f>+'Zał.1_WPF_bazowy'!P20</f>
        <v>0</v>
      </c>
      <c r="Q20" s="310">
        <f>+'Zał.1_WPF_bazowy'!Q20</f>
        <v>0</v>
      </c>
      <c r="R20" s="310">
        <f>+'Zał.1_WPF_bazowy'!R20</f>
        <v>0</v>
      </c>
      <c r="S20" s="310">
        <f>+'Zał.1_WPF_bazowy'!S20</f>
        <v>0</v>
      </c>
      <c r="T20" s="310">
        <f>+'Zał.1_WPF_bazowy'!T20</f>
        <v>0</v>
      </c>
      <c r="U20" s="310" t="e">
        <f>+'Zał.1_WPF_bazowy'!#REF!</f>
        <v>#REF!</v>
      </c>
      <c r="V20" s="310" t="e">
        <f>+'Zał.1_WPF_bazowy'!#REF!</f>
        <v>#REF!</v>
      </c>
      <c r="W20" s="310" t="e">
        <f>+'Zał.1_WPF_bazowy'!#REF!</f>
        <v>#REF!</v>
      </c>
      <c r="X20" s="310" t="e">
        <f>+'Zał.1_WPF_bazowy'!#REF!</f>
        <v>#REF!</v>
      </c>
      <c r="Y20" s="310" t="e">
        <f>+'Zał.1_WPF_bazowy'!#REF!</f>
        <v>#REF!</v>
      </c>
      <c r="Z20" s="310" t="e">
        <f>+'Zał.1_WPF_bazowy'!#REF!</f>
        <v>#REF!</v>
      </c>
      <c r="AA20" s="310" t="e">
        <f>+'Zał.1_WPF_bazowy'!#REF!</f>
        <v>#REF!</v>
      </c>
      <c r="AB20" s="310" t="e">
        <f>+'Zał.1_WPF_bazowy'!#REF!</f>
        <v>#REF!</v>
      </c>
      <c r="AC20" s="310" t="e">
        <f>+'Zał.1_WPF_bazowy'!#REF!</f>
        <v>#REF!</v>
      </c>
      <c r="AD20" s="310" t="e">
        <f>+'Zał.1_WPF_bazowy'!#REF!</f>
        <v>#REF!</v>
      </c>
      <c r="AE20" s="310" t="e">
        <f>+'Zał.1_WPF_bazowy'!#REF!</f>
        <v>#REF!</v>
      </c>
      <c r="AF20" s="310" t="e">
        <f>+'Zał.1_WPF_bazowy'!#REF!</f>
        <v>#REF!</v>
      </c>
      <c r="AG20" s="310" t="e">
        <f>+'Zał.1_WPF_bazowy'!#REF!</f>
        <v>#REF!</v>
      </c>
      <c r="AH20" s="310" t="e">
        <f>+'Zał.1_WPF_bazowy'!#REF!</f>
        <v>#REF!</v>
      </c>
      <c r="AI20" s="310" t="e">
        <f>+'Zał.1_WPF_bazowy'!#REF!</f>
        <v>#REF!</v>
      </c>
      <c r="AJ20" s="310" t="e">
        <f>+'Zał.1_WPF_bazowy'!#REF!</f>
        <v>#REF!</v>
      </c>
      <c r="AK20" s="310" t="e">
        <f>+'Zał.1_WPF_bazowy'!#REF!</f>
        <v>#REF!</v>
      </c>
      <c r="AL20" s="311" t="e">
        <f>+'Zał.1_WPF_bazowy'!#REF!</f>
        <v>#REF!</v>
      </c>
    </row>
    <row r="21" spans="1:38" s="142" customFormat="1" ht="15" outlineLevel="1">
      <c r="A21" s="374" t="s">
        <v>31</v>
      </c>
      <c r="B21" s="45">
        <v>2</v>
      </c>
      <c r="C21" s="256" t="s">
        <v>407</v>
      </c>
      <c r="D21" s="352" t="s">
        <v>21</v>
      </c>
      <c r="E21" s="244">
        <f>'Zał.1_WPF_bazowy'!E21</f>
        <v>22089749.59</v>
      </c>
      <c r="F21" s="245">
        <f>'Zał.1_WPF_bazowy'!F21</f>
        <v>21767768.69</v>
      </c>
      <c r="G21" s="245">
        <f>'Zał.1_WPF_bazowy'!G21</f>
        <v>22390040</v>
      </c>
      <c r="H21" s="115">
        <f>+H22+H28</f>
        <v>20539963.48</v>
      </c>
      <c r="I21" s="113">
        <f>+I22+I28</f>
        <v>21687098.34</v>
      </c>
      <c r="J21" s="114">
        <f aca="true" t="shared" si="1" ref="J21:AL21">+J22+J28</f>
        <v>19815010</v>
      </c>
      <c r="K21" s="114">
        <f t="shared" si="1"/>
        <v>20604965</v>
      </c>
      <c r="L21" s="114">
        <f t="shared" si="1"/>
        <v>19784865</v>
      </c>
      <c r="M21" s="114">
        <f t="shared" si="1"/>
        <v>20384865</v>
      </c>
      <c r="N21" s="114">
        <f t="shared" si="1"/>
        <v>21034485</v>
      </c>
      <c r="O21" s="114">
        <f t="shared" si="1"/>
        <v>21724449</v>
      </c>
      <c r="P21" s="114">
        <f t="shared" si="1"/>
        <v>22418449</v>
      </c>
      <c r="Q21" s="114">
        <f t="shared" si="1"/>
        <v>22751149</v>
      </c>
      <c r="R21" s="114">
        <f t="shared" si="1"/>
        <v>23220149</v>
      </c>
      <c r="S21" s="114">
        <f t="shared" si="1"/>
        <v>23746549</v>
      </c>
      <c r="T21" s="114">
        <f t="shared" si="1"/>
        <v>24445650</v>
      </c>
      <c r="U21" s="114" t="e">
        <f t="shared" si="1"/>
        <v>#REF!</v>
      </c>
      <c r="V21" s="114" t="e">
        <f t="shared" si="1"/>
        <v>#REF!</v>
      </c>
      <c r="W21" s="114" t="e">
        <f t="shared" si="1"/>
        <v>#REF!</v>
      </c>
      <c r="X21" s="114" t="e">
        <f t="shared" si="1"/>
        <v>#REF!</v>
      </c>
      <c r="Y21" s="114" t="e">
        <f t="shared" si="1"/>
        <v>#REF!</v>
      </c>
      <c r="Z21" s="114" t="e">
        <f t="shared" si="1"/>
        <v>#REF!</v>
      </c>
      <c r="AA21" s="114" t="e">
        <f t="shared" si="1"/>
        <v>#REF!</v>
      </c>
      <c r="AB21" s="114" t="e">
        <f t="shared" si="1"/>
        <v>#REF!</v>
      </c>
      <c r="AC21" s="114" t="e">
        <f t="shared" si="1"/>
        <v>#REF!</v>
      </c>
      <c r="AD21" s="114" t="e">
        <f t="shared" si="1"/>
        <v>#REF!</v>
      </c>
      <c r="AE21" s="114" t="e">
        <f t="shared" si="1"/>
        <v>#REF!</v>
      </c>
      <c r="AF21" s="114" t="e">
        <f t="shared" si="1"/>
        <v>#REF!</v>
      </c>
      <c r="AG21" s="114" t="e">
        <f t="shared" si="1"/>
        <v>#REF!</v>
      </c>
      <c r="AH21" s="114" t="e">
        <f t="shared" si="1"/>
        <v>#REF!</v>
      </c>
      <c r="AI21" s="114" t="e">
        <f t="shared" si="1"/>
        <v>#REF!</v>
      </c>
      <c r="AJ21" s="114" t="e">
        <f t="shared" si="1"/>
        <v>#REF!</v>
      </c>
      <c r="AK21" s="114" t="e">
        <f t="shared" si="1"/>
        <v>#REF!</v>
      </c>
      <c r="AL21" s="115" t="e">
        <f t="shared" si="1"/>
        <v>#REF!</v>
      </c>
    </row>
    <row r="22" spans="1:38" ht="14.25" outlineLevel="2">
      <c r="A22" s="374" t="s">
        <v>31</v>
      </c>
      <c r="B22" s="46" t="s">
        <v>166</v>
      </c>
      <c r="C22" s="257"/>
      <c r="D22" s="354" t="s">
        <v>222</v>
      </c>
      <c r="E22" s="246">
        <f>'Zał.1_WPF_bazowy'!E22</f>
        <v>14506921.92</v>
      </c>
      <c r="F22" s="247">
        <f>'Zał.1_WPF_bazowy'!F22</f>
        <v>15158377.44</v>
      </c>
      <c r="G22" s="247">
        <f>'Zał.1_WPF_bazowy'!G22</f>
        <v>17619717</v>
      </c>
      <c r="H22" s="308">
        <f>'Zał.1_WPF_bazowy'!H22</f>
        <v>16837409.82</v>
      </c>
      <c r="I22" s="309">
        <f>+'Zał.1_WPF_bazowy'!I22</f>
        <v>19126038.34</v>
      </c>
      <c r="J22" s="310">
        <f>+'Zał.1_WPF_bazowy'!J22</f>
        <v>18607000</v>
      </c>
      <c r="K22" s="310">
        <f>+'Zał.1_WPF_bazowy'!K22</f>
        <v>18853975</v>
      </c>
      <c r="L22" s="310">
        <f>+'Zał.1_WPF_bazowy'!L22</f>
        <v>19201000</v>
      </c>
      <c r="M22" s="310">
        <f>+'Zał.1_WPF_bazowy'!M22</f>
        <v>19530000</v>
      </c>
      <c r="N22" s="310">
        <f>+'Zał.1_WPF_bazowy'!N22</f>
        <v>19884000</v>
      </c>
      <c r="O22" s="310">
        <f>+'Zał.1_WPF_bazowy'!O22</f>
        <v>20247000</v>
      </c>
      <c r="P22" s="310">
        <f>+'Zał.1_WPF_bazowy'!P22</f>
        <v>20600000</v>
      </c>
      <c r="Q22" s="310">
        <f>+'Zał.1_WPF_bazowy'!Q22</f>
        <v>20779000</v>
      </c>
      <c r="R22" s="310">
        <f>+'Zał.1_WPF_bazowy'!R22</f>
        <v>20954000</v>
      </c>
      <c r="S22" s="310">
        <f>+'Zał.1_WPF_bazowy'!S22</f>
        <v>21136000</v>
      </c>
      <c r="T22" s="310">
        <f>+'Zał.1_WPF_bazowy'!T22</f>
        <v>21326000</v>
      </c>
      <c r="U22" s="310" t="e">
        <f>+'Zał.1_WPF_bazowy'!#REF!</f>
        <v>#REF!</v>
      </c>
      <c r="V22" s="310" t="e">
        <f>+'Zał.1_WPF_bazowy'!#REF!</f>
        <v>#REF!</v>
      </c>
      <c r="W22" s="310" t="e">
        <f>+'Zał.1_WPF_bazowy'!#REF!</f>
        <v>#REF!</v>
      </c>
      <c r="X22" s="310" t="e">
        <f>+'Zał.1_WPF_bazowy'!#REF!</f>
        <v>#REF!</v>
      </c>
      <c r="Y22" s="310" t="e">
        <f>+'Zał.1_WPF_bazowy'!#REF!</f>
        <v>#REF!</v>
      </c>
      <c r="Z22" s="310" t="e">
        <f>+'Zał.1_WPF_bazowy'!#REF!</f>
        <v>#REF!</v>
      </c>
      <c r="AA22" s="310" t="e">
        <f>+'Zał.1_WPF_bazowy'!#REF!</f>
        <v>#REF!</v>
      </c>
      <c r="AB22" s="310" t="e">
        <f>+'Zał.1_WPF_bazowy'!#REF!</f>
        <v>#REF!</v>
      </c>
      <c r="AC22" s="310" t="e">
        <f>+'Zał.1_WPF_bazowy'!#REF!</f>
        <v>#REF!</v>
      </c>
      <c r="AD22" s="310" t="e">
        <f>+'Zał.1_WPF_bazowy'!#REF!</f>
        <v>#REF!</v>
      </c>
      <c r="AE22" s="310" t="e">
        <f>+'Zał.1_WPF_bazowy'!#REF!</f>
        <v>#REF!</v>
      </c>
      <c r="AF22" s="310" t="e">
        <f>+'Zał.1_WPF_bazowy'!#REF!</f>
        <v>#REF!</v>
      </c>
      <c r="AG22" s="310" t="e">
        <f>+'Zał.1_WPF_bazowy'!#REF!</f>
        <v>#REF!</v>
      </c>
      <c r="AH22" s="310" t="e">
        <f>+'Zał.1_WPF_bazowy'!#REF!</f>
        <v>#REF!</v>
      </c>
      <c r="AI22" s="310" t="e">
        <f>+'Zał.1_WPF_bazowy'!#REF!</f>
        <v>#REF!</v>
      </c>
      <c r="AJ22" s="310" t="e">
        <f>+'Zał.1_WPF_bazowy'!#REF!</f>
        <v>#REF!</v>
      </c>
      <c r="AK22" s="310" t="e">
        <f>+'Zał.1_WPF_bazowy'!#REF!</f>
        <v>#REF!</v>
      </c>
      <c r="AL22" s="311" t="e">
        <f>+'Zał.1_WPF_bazowy'!#REF!</f>
        <v>#REF!</v>
      </c>
    </row>
    <row r="23" spans="1:38" ht="14.25" outlineLevel="2">
      <c r="A23" s="374" t="s">
        <v>31</v>
      </c>
      <c r="B23" s="46" t="s">
        <v>62</v>
      </c>
      <c r="C23" s="257"/>
      <c r="D23" s="355" t="s">
        <v>223</v>
      </c>
      <c r="E23" s="246">
        <f>'Zał.1_WPF_bazowy'!E23</f>
        <v>0</v>
      </c>
      <c r="F23" s="247">
        <f>'Zał.1_WPF_bazowy'!F23</f>
        <v>0</v>
      </c>
      <c r="G23" s="247">
        <f>'Zał.1_WPF_bazowy'!G23</f>
        <v>0</v>
      </c>
      <c r="H23" s="308">
        <f>'Zał.1_WPF_bazowy'!H23</f>
        <v>0</v>
      </c>
      <c r="I23" s="309">
        <f>+'Zał.1_WPF_bazowy'!I23</f>
        <v>0</v>
      </c>
      <c r="J23" s="310">
        <f>+'Zał.1_WPF_bazowy'!J23</f>
        <v>0</v>
      </c>
      <c r="K23" s="310">
        <f>+'Zał.1_WPF_bazowy'!K23</f>
        <v>0</v>
      </c>
      <c r="L23" s="310">
        <f>+'Zał.1_WPF_bazowy'!L23</f>
        <v>0</v>
      </c>
      <c r="M23" s="310">
        <f>+'Zał.1_WPF_bazowy'!M23</f>
        <v>0</v>
      </c>
      <c r="N23" s="310">
        <f>+'Zał.1_WPF_bazowy'!N23</f>
        <v>0</v>
      </c>
      <c r="O23" s="310">
        <f>+'Zał.1_WPF_bazowy'!O23</f>
        <v>0</v>
      </c>
      <c r="P23" s="310">
        <f>+'Zał.1_WPF_bazowy'!P23</f>
        <v>0</v>
      </c>
      <c r="Q23" s="310">
        <f>+'Zał.1_WPF_bazowy'!Q23</f>
        <v>0</v>
      </c>
      <c r="R23" s="310">
        <f>+'Zał.1_WPF_bazowy'!R23</f>
        <v>0</v>
      </c>
      <c r="S23" s="310">
        <f>+'Zał.1_WPF_bazowy'!S23</f>
        <v>0</v>
      </c>
      <c r="T23" s="310">
        <f>+'Zał.1_WPF_bazowy'!T23</f>
        <v>0</v>
      </c>
      <c r="U23" s="310" t="e">
        <f>+'Zał.1_WPF_bazowy'!#REF!</f>
        <v>#REF!</v>
      </c>
      <c r="V23" s="310" t="e">
        <f>+'Zał.1_WPF_bazowy'!#REF!</f>
        <v>#REF!</v>
      </c>
      <c r="W23" s="310" t="e">
        <f>+'Zał.1_WPF_bazowy'!#REF!</f>
        <v>#REF!</v>
      </c>
      <c r="X23" s="310" t="e">
        <f>+'Zał.1_WPF_bazowy'!#REF!</f>
        <v>#REF!</v>
      </c>
      <c r="Y23" s="310" t="e">
        <f>+'Zał.1_WPF_bazowy'!#REF!</f>
        <v>#REF!</v>
      </c>
      <c r="Z23" s="310" t="e">
        <f>+'Zał.1_WPF_bazowy'!#REF!</f>
        <v>#REF!</v>
      </c>
      <c r="AA23" s="310" t="e">
        <f>+'Zał.1_WPF_bazowy'!#REF!</f>
        <v>#REF!</v>
      </c>
      <c r="AB23" s="310" t="e">
        <f>+'Zał.1_WPF_bazowy'!#REF!</f>
        <v>#REF!</v>
      </c>
      <c r="AC23" s="310" t="e">
        <f>+'Zał.1_WPF_bazowy'!#REF!</f>
        <v>#REF!</v>
      </c>
      <c r="AD23" s="310" t="e">
        <f>+'Zał.1_WPF_bazowy'!#REF!</f>
        <v>#REF!</v>
      </c>
      <c r="AE23" s="310" t="e">
        <f>+'Zał.1_WPF_bazowy'!#REF!</f>
        <v>#REF!</v>
      </c>
      <c r="AF23" s="310" t="e">
        <f>+'Zał.1_WPF_bazowy'!#REF!</f>
        <v>#REF!</v>
      </c>
      <c r="AG23" s="310" t="e">
        <f>+'Zał.1_WPF_bazowy'!#REF!</f>
        <v>#REF!</v>
      </c>
      <c r="AH23" s="310" t="e">
        <f>+'Zał.1_WPF_bazowy'!#REF!</f>
        <v>#REF!</v>
      </c>
      <c r="AI23" s="310" t="e">
        <f>+'Zał.1_WPF_bazowy'!#REF!</f>
        <v>#REF!</v>
      </c>
      <c r="AJ23" s="310" t="e">
        <f>+'Zał.1_WPF_bazowy'!#REF!</f>
        <v>#REF!</v>
      </c>
      <c r="AK23" s="310" t="e">
        <f>+'Zał.1_WPF_bazowy'!#REF!</f>
        <v>#REF!</v>
      </c>
      <c r="AL23" s="311" t="e">
        <f>+'Zał.1_WPF_bazowy'!#REF!</f>
        <v>#REF!</v>
      </c>
    </row>
    <row r="24" spans="1:38" ht="48" outlineLevel="2">
      <c r="A24" s="374" t="s">
        <v>31</v>
      </c>
      <c r="B24" s="46" t="s">
        <v>64</v>
      </c>
      <c r="C24" s="257"/>
      <c r="D24" s="356" t="s">
        <v>451</v>
      </c>
      <c r="E24" s="246">
        <f>'Zał.1_WPF_bazowy'!E24</f>
        <v>0</v>
      </c>
      <c r="F24" s="247">
        <f>'Zał.1_WPF_bazowy'!F24</f>
        <v>0</v>
      </c>
      <c r="G24" s="247">
        <f>'Zał.1_WPF_bazowy'!G24</f>
        <v>0</v>
      </c>
      <c r="H24" s="308">
        <f>'Zał.1_WPF_bazowy'!H24</f>
        <v>0</v>
      </c>
      <c r="I24" s="309">
        <f>+'Zał.1_WPF_bazowy'!I24</f>
        <v>0</v>
      </c>
      <c r="J24" s="310">
        <f>+'Zał.1_WPF_bazowy'!J24</f>
        <v>0</v>
      </c>
      <c r="K24" s="310">
        <f>+'Zał.1_WPF_bazowy'!K24</f>
        <v>0</v>
      </c>
      <c r="L24" s="310">
        <f>+'Zał.1_WPF_bazowy'!L24</f>
        <v>0</v>
      </c>
      <c r="M24" s="310">
        <f>+'Zał.1_WPF_bazowy'!M24</f>
        <v>0</v>
      </c>
      <c r="N24" s="310">
        <f>+'Zał.1_WPF_bazowy'!N24</f>
        <v>0</v>
      </c>
      <c r="O24" s="310">
        <f>+'Zał.1_WPF_bazowy'!O24</f>
        <v>0</v>
      </c>
      <c r="P24" s="310">
        <f>+'Zał.1_WPF_bazowy'!P24</f>
        <v>0</v>
      </c>
      <c r="Q24" s="310">
        <f>+'Zał.1_WPF_bazowy'!Q24</f>
        <v>0</v>
      </c>
      <c r="R24" s="310">
        <f>+'Zał.1_WPF_bazowy'!R24</f>
        <v>0</v>
      </c>
      <c r="S24" s="310">
        <f>+'Zał.1_WPF_bazowy'!S24</f>
        <v>0</v>
      </c>
      <c r="T24" s="310">
        <f>+'Zał.1_WPF_bazowy'!T24</f>
        <v>0</v>
      </c>
      <c r="U24" s="310" t="e">
        <f>+'Zał.1_WPF_bazowy'!#REF!</f>
        <v>#REF!</v>
      </c>
      <c r="V24" s="310" t="e">
        <f>+'Zał.1_WPF_bazowy'!#REF!</f>
        <v>#REF!</v>
      </c>
      <c r="W24" s="310" t="e">
        <f>+'Zał.1_WPF_bazowy'!#REF!</f>
        <v>#REF!</v>
      </c>
      <c r="X24" s="310" t="e">
        <f>+'Zał.1_WPF_bazowy'!#REF!</f>
        <v>#REF!</v>
      </c>
      <c r="Y24" s="310" t="e">
        <f>+'Zał.1_WPF_bazowy'!#REF!</f>
        <v>#REF!</v>
      </c>
      <c r="Z24" s="310" t="e">
        <f>+'Zał.1_WPF_bazowy'!#REF!</f>
        <v>#REF!</v>
      </c>
      <c r="AA24" s="310" t="e">
        <f>+'Zał.1_WPF_bazowy'!#REF!</f>
        <v>#REF!</v>
      </c>
      <c r="AB24" s="310" t="e">
        <f>+'Zał.1_WPF_bazowy'!#REF!</f>
        <v>#REF!</v>
      </c>
      <c r="AC24" s="310" t="e">
        <f>+'Zał.1_WPF_bazowy'!#REF!</f>
        <v>#REF!</v>
      </c>
      <c r="AD24" s="310" t="e">
        <f>+'Zał.1_WPF_bazowy'!#REF!</f>
        <v>#REF!</v>
      </c>
      <c r="AE24" s="310" t="e">
        <f>+'Zał.1_WPF_bazowy'!#REF!</f>
        <v>#REF!</v>
      </c>
      <c r="AF24" s="310" t="e">
        <f>+'Zał.1_WPF_bazowy'!#REF!</f>
        <v>#REF!</v>
      </c>
      <c r="AG24" s="310" t="e">
        <f>+'Zał.1_WPF_bazowy'!#REF!</f>
        <v>#REF!</v>
      </c>
      <c r="AH24" s="310" t="e">
        <f>+'Zał.1_WPF_bazowy'!#REF!</f>
        <v>#REF!</v>
      </c>
      <c r="AI24" s="310" t="e">
        <f>+'Zał.1_WPF_bazowy'!#REF!</f>
        <v>#REF!</v>
      </c>
      <c r="AJ24" s="310" t="e">
        <f>+'Zał.1_WPF_bazowy'!#REF!</f>
        <v>#REF!</v>
      </c>
      <c r="AK24" s="310" t="e">
        <f>+'Zał.1_WPF_bazowy'!#REF!</f>
        <v>#REF!</v>
      </c>
      <c r="AL24" s="311" t="e">
        <f>+'Zał.1_WPF_bazowy'!#REF!</f>
        <v>#REF!</v>
      </c>
    </row>
    <row r="25" spans="1:38" ht="36" outlineLevel="2">
      <c r="A25" s="374"/>
      <c r="B25" s="46" t="s">
        <v>66</v>
      </c>
      <c r="C25" s="257"/>
      <c r="D25" s="355" t="s">
        <v>452</v>
      </c>
      <c r="E25" s="248" t="s">
        <v>31</v>
      </c>
      <c r="F25" s="249" t="s">
        <v>31</v>
      </c>
      <c r="G25" s="249" t="s">
        <v>31</v>
      </c>
      <c r="H25" s="312" t="s">
        <v>31</v>
      </c>
      <c r="I25" s="309">
        <f>+'Zał.1_WPF_bazowy'!I25</f>
        <v>0</v>
      </c>
      <c r="J25" s="310">
        <f>+'Zał.1_WPF_bazowy'!J25</f>
        <v>0</v>
      </c>
      <c r="K25" s="310">
        <f>+'Zał.1_WPF_bazowy'!K25</f>
        <v>0</v>
      </c>
      <c r="L25" s="310">
        <f>+'Zał.1_WPF_bazowy'!L25</f>
        <v>0</v>
      </c>
      <c r="M25" s="310">
        <f>+'Zał.1_WPF_bazowy'!M25</f>
        <v>0</v>
      </c>
      <c r="N25" s="310">
        <f>+'Zał.1_WPF_bazowy'!N25</f>
        <v>0</v>
      </c>
      <c r="O25" s="310">
        <f>+'Zał.1_WPF_bazowy'!O25</f>
        <v>0</v>
      </c>
      <c r="P25" s="310">
        <f>+'Zał.1_WPF_bazowy'!P25</f>
        <v>0</v>
      </c>
      <c r="Q25" s="310">
        <f>+'Zał.1_WPF_bazowy'!Q25</f>
        <v>0</v>
      </c>
      <c r="R25" s="310">
        <f>+'Zał.1_WPF_bazowy'!R25</f>
        <v>0</v>
      </c>
      <c r="S25" s="310">
        <f>+'Zał.1_WPF_bazowy'!S25</f>
        <v>0</v>
      </c>
      <c r="T25" s="310">
        <f>+'Zał.1_WPF_bazowy'!T25</f>
        <v>0</v>
      </c>
      <c r="U25" s="310" t="e">
        <f>+'Zał.1_WPF_bazowy'!#REF!</f>
        <v>#REF!</v>
      </c>
      <c r="V25" s="310" t="e">
        <f>+'Zał.1_WPF_bazowy'!#REF!</f>
        <v>#REF!</v>
      </c>
      <c r="W25" s="310" t="e">
        <f>+'Zał.1_WPF_bazowy'!#REF!</f>
        <v>#REF!</v>
      </c>
      <c r="X25" s="310" t="e">
        <f>+'Zał.1_WPF_bazowy'!#REF!</f>
        <v>#REF!</v>
      </c>
      <c r="Y25" s="310" t="e">
        <f>+'Zał.1_WPF_bazowy'!#REF!</f>
        <v>#REF!</v>
      </c>
      <c r="Z25" s="310" t="e">
        <f>+'Zał.1_WPF_bazowy'!#REF!</f>
        <v>#REF!</v>
      </c>
      <c r="AA25" s="310" t="e">
        <f>+'Zał.1_WPF_bazowy'!#REF!</f>
        <v>#REF!</v>
      </c>
      <c r="AB25" s="310" t="e">
        <f>+'Zał.1_WPF_bazowy'!#REF!</f>
        <v>#REF!</v>
      </c>
      <c r="AC25" s="310" t="e">
        <f>+'Zał.1_WPF_bazowy'!#REF!</f>
        <v>#REF!</v>
      </c>
      <c r="AD25" s="310" t="e">
        <f>+'Zał.1_WPF_bazowy'!#REF!</f>
        <v>#REF!</v>
      </c>
      <c r="AE25" s="310" t="e">
        <f>+'Zał.1_WPF_bazowy'!#REF!</f>
        <v>#REF!</v>
      </c>
      <c r="AF25" s="310" t="e">
        <f>+'Zał.1_WPF_bazowy'!#REF!</f>
        <v>#REF!</v>
      </c>
      <c r="AG25" s="310" t="e">
        <f>+'Zał.1_WPF_bazowy'!#REF!</f>
        <v>#REF!</v>
      </c>
      <c r="AH25" s="310" t="e">
        <f>+'Zał.1_WPF_bazowy'!#REF!</f>
        <v>#REF!</v>
      </c>
      <c r="AI25" s="310" t="e">
        <f>+'Zał.1_WPF_bazowy'!#REF!</f>
        <v>#REF!</v>
      </c>
      <c r="AJ25" s="310" t="e">
        <f>+'Zał.1_WPF_bazowy'!#REF!</f>
        <v>#REF!</v>
      </c>
      <c r="AK25" s="310" t="e">
        <f>+'Zał.1_WPF_bazowy'!#REF!</f>
        <v>#REF!</v>
      </c>
      <c r="AL25" s="311" t="e">
        <f>+'Zał.1_WPF_bazowy'!#REF!</f>
        <v>#REF!</v>
      </c>
    </row>
    <row r="26" spans="1:38" ht="14.25" outlineLevel="2">
      <c r="A26" s="374" t="s">
        <v>31</v>
      </c>
      <c r="B26" s="46" t="s">
        <v>68</v>
      </c>
      <c r="C26" s="257"/>
      <c r="D26" s="355" t="s">
        <v>224</v>
      </c>
      <c r="E26" s="246">
        <f>'Zał.1_WPF_bazowy'!E26</f>
        <v>331174.84</v>
      </c>
      <c r="F26" s="247">
        <f>'Zał.1_WPF_bazowy'!F26</f>
        <v>430465.97</v>
      </c>
      <c r="G26" s="247">
        <f>'Zał.1_WPF_bazowy'!G26</f>
        <v>523000</v>
      </c>
      <c r="H26" s="308">
        <f>'Zał.1_WPF_bazowy'!H26</f>
        <v>481394.65</v>
      </c>
      <c r="I26" s="309">
        <f>+'Zał.1_WPF_bazowy'!I26</f>
        <v>455000</v>
      </c>
      <c r="J26" s="310">
        <f>+'Zał.1_WPF_bazowy'!J26</f>
        <v>407000</v>
      </c>
      <c r="K26" s="310">
        <f>+'Zał.1_WPF_bazowy'!K26</f>
        <v>329000</v>
      </c>
      <c r="L26" s="310">
        <f>+'Zał.1_WPF_bazowy'!L26</f>
        <v>326000</v>
      </c>
      <c r="M26" s="310">
        <f>+'Zał.1_WPF_bazowy'!M26</f>
        <v>285000</v>
      </c>
      <c r="N26" s="310">
        <f>+'Zał.1_WPF_bazowy'!N26</f>
        <v>244000</v>
      </c>
      <c r="O26" s="310">
        <f>+'Zał.1_WPF_bazowy'!O26</f>
        <v>202000</v>
      </c>
      <c r="P26" s="310">
        <f>+'Zał.1_WPF_bazowy'!P26</f>
        <v>163000</v>
      </c>
      <c r="Q26" s="310">
        <f>+'Zał.1_WPF_bazowy'!Q26</f>
        <v>130000</v>
      </c>
      <c r="R26" s="310">
        <f>+'Zał.1_WPF_bazowy'!R26</f>
        <v>90000</v>
      </c>
      <c r="S26" s="310">
        <f>+'Zał.1_WPF_bazowy'!S26</f>
        <v>51000</v>
      </c>
      <c r="T26" s="310">
        <f>+'Zał.1_WPF_bazowy'!T26</f>
        <v>18000</v>
      </c>
      <c r="U26" s="310" t="e">
        <f>+'Zał.1_WPF_bazowy'!#REF!</f>
        <v>#REF!</v>
      </c>
      <c r="V26" s="310" t="e">
        <f>+'Zał.1_WPF_bazowy'!#REF!</f>
        <v>#REF!</v>
      </c>
      <c r="W26" s="310" t="e">
        <f>+'Zał.1_WPF_bazowy'!#REF!</f>
        <v>#REF!</v>
      </c>
      <c r="X26" s="310" t="e">
        <f>+'Zał.1_WPF_bazowy'!#REF!</f>
        <v>#REF!</v>
      </c>
      <c r="Y26" s="310" t="e">
        <f>+'Zał.1_WPF_bazowy'!#REF!</f>
        <v>#REF!</v>
      </c>
      <c r="Z26" s="310" t="e">
        <f>+'Zał.1_WPF_bazowy'!#REF!</f>
        <v>#REF!</v>
      </c>
      <c r="AA26" s="310" t="e">
        <f>+'Zał.1_WPF_bazowy'!#REF!</f>
        <v>#REF!</v>
      </c>
      <c r="AB26" s="310" t="e">
        <f>+'Zał.1_WPF_bazowy'!#REF!</f>
        <v>#REF!</v>
      </c>
      <c r="AC26" s="310" t="e">
        <f>+'Zał.1_WPF_bazowy'!#REF!</f>
        <v>#REF!</v>
      </c>
      <c r="AD26" s="310" t="e">
        <f>+'Zał.1_WPF_bazowy'!#REF!</f>
        <v>#REF!</v>
      </c>
      <c r="AE26" s="310" t="e">
        <f>+'Zał.1_WPF_bazowy'!#REF!</f>
        <v>#REF!</v>
      </c>
      <c r="AF26" s="310" t="e">
        <f>+'Zał.1_WPF_bazowy'!#REF!</f>
        <v>#REF!</v>
      </c>
      <c r="AG26" s="310" t="e">
        <f>+'Zał.1_WPF_bazowy'!#REF!</f>
        <v>#REF!</v>
      </c>
      <c r="AH26" s="310" t="e">
        <f>+'Zał.1_WPF_bazowy'!#REF!</f>
        <v>#REF!</v>
      </c>
      <c r="AI26" s="310" t="e">
        <f>+'Zał.1_WPF_bazowy'!#REF!</f>
        <v>#REF!</v>
      </c>
      <c r="AJ26" s="310" t="e">
        <f>+'Zał.1_WPF_bazowy'!#REF!</f>
        <v>#REF!</v>
      </c>
      <c r="AK26" s="310" t="e">
        <f>+'Zał.1_WPF_bazowy'!#REF!</f>
        <v>#REF!</v>
      </c>
      <c r="AL26" s="311" t="e">
        <f>+'Zał.1_WPF_bazowy'!#REF!</f>
        <v>#REF!</v>
      </c>
    </row>
    <row r="27" spans="1:253" s="146" customFormat="1" ht="14.25" outlineLevel="2">
      <c r="A27" s="374" t="s">
        <v>31</v>
      </c>
      <c r="B27" s="46" t="s">
        <v>70</v>
      </c>
      <c r="C27" s="257"/>
      <c r="D27" s="356" t="s">
        <v>225</v>
      </c>
      <c r="E27" s="246">
        <f>'Zał.1_WPF_bazowy'!E27</f>
        <v>331174.84</v>
      </c>
      <c r="F27" s="247">
        <f>'Zał.1_WPF_bazowy'!F27</f>
        <v>430465.97</v>
      </c>
      <c r="G27" s="247">
        <f>'Zał.1_WPF_bazowy'!G27</f>
        <v>523000</v>
      </c>
      <c r="H27" s="308">
        <f>'Zał.1_WPF_bazowy'!H27</f>
        <v>481394.65</v>
      </c>
      <c r="I27" s="309">
        <f>+'Zał.1_WPF_bazowy'!I27</f>
        <v>455000</v>
      </c>
      <c r="J27" s="310">
        <f>+'Zał.1_WPF_bazowy'!J27</f>
        <v>407000</v>
      </c>
      <c r="K27" s="310">
        <f>+'Zał.1_WPF_bazowy'!K27</f>
        <v>329000</v>
      </c>
      <c r="L27" s="310">
        <f>+'Zał.1_WPF_bazowy'!L27</f>
        <v>326000</v>
      </c>
      <c r="M27" s="310">
        <f>+'Zał.1_WPF_bazowy'!M27</f>
        <v>285000</v>
      </c>
      <c r="N27" s="310">
        <f>+'Zał.1_WPF_bazowy'!N27</f>
        <v>244000</v>
      </c>
      <c r="O27" s="310">
        <f>+'Zał.1_WPF_bazowy'!O27</f>
        <v>202000</v>
      </c>
      <c r="P27" s="310">
        <f>+'Zał.1_WPF_bazowy'!P27</f>
        <v>163000</v>
      </c>
      <c r="Q27" s="310">
        <f>+'Zał.1_WPF_bazowy'!Q27</f>
        <v>130000</v>
      </c>
      <c r="R27" s="310">
        <f>+'Zał.1_WPF_bazowy'!R27</f>
        <v>90000</v>
      </c>
      <c r="S27" s="310">
        <f>+'Zał.1_WPF_bazowy'!S27</f>
        <v>51000</v>
      </c>
      <c r="T27" s="310">
        <f>+'Zał.1_WPF_bazowy'!T27</f>
        <v>18000</v>
      </c>
      <c r="U27" s="310" t="e">
        <f>+'Zał.1_WPF_bazowy'!#REF!</f>
        <v>#REF!</v>
      </c>
      <c r="V27" s="310" t="e">
        <f>+'Zał.1_WPF_bazowy'!#REF!</f>
        <v>#REF!</v>
      </c>
      <c r="W27" s="310" t="e">
        <f>+'Zał.1_WPF_bazowy'!#REF!</f>
        <v>#REF!</v>
      </c>
      <c r="X27" s="310" t="e">
        <f>+'Zał.1_WPF_bazowy'!#REF!</f>
        <v>#REF!</v>
      </c>
      <c r="Y27" s="310" t="e">
        <f>+'Zał.1_WPF_bazowy'!#REF!</f>
        <v>#REF!</v>
      </c>
      <c r="Z27" s="310" t="e">
        <f>+'Zał.1_WPF_bazowy'!#REF!</f>
        <v>#REF!</v>
      </c>
      <c r="AA27" s="310" t="e">
        <f>+'Zał.1_WPF_bazowy'!#REF!</f>
        <v>#REF!</v>
      </c>
      <c r="AB27" s="310" t="e">
        <f>+'Zał.1_WPF_bazowy'!#REF!</f>
        <v>#REF!</v>
      </c>
      <c r="AC27" s="310" t="e">
        <f>+'Zał.1_WPF_bazowy'!#REF!</f>
        <v>#REF!</v>
      </c>
      <c r="AD27" s="310" t="e">
        <f>+'Zał.1_WPF_bazowy'!#REF!</f>
        <v>#REF!</v>
      </c>
      <c r="AE27" s="310" t="e">
        <f>+'Zał.1_WPF_bazowy'!#REF!</f>
        <v>#REF!</v>
      </c>
      <c r="AF27" s="310" t="e">
        <f>+'Zał.1_WPF_bazowy'!#REF!</f>
        <v>#REF!</v>
      </c>
      <c r="AG27" s="310" t="e">
        <f>+'Zał.1_WPF_bazowy'!#REF!</f>
        <v>#REF!</v>
      </c>
      <c r="AH27" s="310" t="e">
        <f>+'Zał.1_WPF_bazowy'!#REF!</f>
        <v>#REF!</v>
      </c>
      <c r="AI27" s="310" t="e">
        <f>+'Zał.1_WPF_bazowy'!#REF!</f>
        <v>#REF!</v>
      </c>
      <c r="AJ27" s="310" t="e">
        <f>+'Zał.1_WPF_bazowy'!#REF!</f>
        <v>#REF!</v>
      </c>
      <c r="AK27" s="310" t="e">
        <f>+'Zał.1_WPF_bazowy'!#REF!</f>
        <v>#REF!</v>
      </c>
      <c r="AL27" s="311" t="e">
        <f>+'Zał.1_WPF_bazowy'!#REF!</f>
        <v>#REF!</v>
      </c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0"/>
      <c r="IP27" s="120"/>
      <c r="IQ27" s="120"/>
      <c r="IR27" s="120"/>
      <c r="IS27" s="120"/>
    </row>
    <row r="28" spans="1:253" s="146" customFormat="1" ht="14.25" outlineLevel="2">
      <c r="A28" s="374" t="s">
        <v>31</v>
      </c>
      <c r="B28" s="46" t="s">
        <v>167</v>
      </c>
      <c r="C28" s="257"/>
      <c r="D28" s="354" t="s">
        <v>22</v>
      </c>
      <c r="E28" s="246">
        <f>'Zał.1_WPF_bazowy'!E28</f>
        <v>7582827.67</v>
      </c>
      <c r="F28" s="247">
        <f>'Zał.1_WPF_bazowy'!F28</f>
        <v>6609391.25</v>
      </c>
      <c r="G28" s="247">
        <f>'Zał.1_WPF_bazowy'!G28</f>
        <v>4770323</v>
      </c>
      <c r="H28" s="308">
        <f>'Zał.1_WPF_bazowy'!H28</f>
        <v>3702553.66</v>
      </c>
      <c r="I28" s="309">
        <f>+'Zał.1_WPF_bazowy'!I28</f>
        <v>2561060</v>
      </c>
      <c r="J28" s="310">
        <f>+'Zał.1_WPF_bazowy'!J28</f>
        <v>1208010</v>
      </c>
      <c r="K28" s="310">
        <f>+'Zał.1_WPF_bazowy'!K28</f>
        <v>1750990</v>
      </c>
      <c r="L28" s="310">
        <f>+'Zał.1_WPF_bazowy'!L28</f>
        <v>583865</v>
      </c>
      <c r="M28" s="310">
        <f>+'Zał.1_WPF_bazowy'!M28</f>
        <v>854865</v>
      </c>
      <c r="N28" s="310">
        <f>+'Zał.1_WPF_bazowy'!N28</f>
        <v>1150485</v>
      </c>
      <c r="O28" s="310">
        <f>+'Zał.1_WPF_bazowy'!O28</f>
        <v>1477449</v>
      </c>
      <c r="P28" s="310">
        <f>+'Zał.1_WPF_bazowy'!P28</f>
        <v>1818449</v>
      </c>
      <c r="Q28" s="310">
        <f>+'Zał.1_WPF_bazowy'!Q28</f>
        <v>1972149</v>
      </c>
      <c r="R28" s="310">
        <f>+'Zał.1_WPF_bazowy'!R28</f>
        <v>2266149</v>
      </c>
      <c r="S28" s="310">
        <f>+'Zał.1_WPF_bazowy'!S28</f>
        <v>2610549</v>
      </c>
      <c r="T28" s="310">
        <f>+'Zał.1_WPF_bazowy'!T28</f>
        <v>3119650</v>
      </c>
      <c r="U28" s="310" t="e">
        <f>+'Zał.1_WPF_bazowy'!#REF!</f>
        <v>#REF!</v>
      </c>
      <c r="V28" s="310" t="e">
        <f>+'Zał.1_WPF_bazowy'!#REF!</f>
        <v>#REF!</v>
      </c>
      <c r="W28" s="310" t="e">
        <f>+'Zał.1_WPF_bazowy'!#REF!</f>
        <v>#REF!</v>
      </c>
      <c r="X28" s="310" t="e">
        <f>+'Zał.1_WPF_bazowy'!#REF!</f>
        <v>#REF!</v>
      </c>
      <c r="Y28" s="310" t="e">
        <f>+'Zał.1_WPF_bazowy'!#REF!</f>
        <v>#REF!</v>
      </c>
      <c r="Z28" s="310" t="e">
        <f>+'Zał.1_WPF_bazowy'!#REF!</f>
        <v>#REF!</v>
      </c>
      <c r="AA28" s="310" t="e">
        <f>+'Zał.1_WPF_bazowy'!#REF!</f>
        <v>#REF!</v>
      </c>
      <c r="AB28" s="310" t="e">
        <f>+'Zał.1_WPF_bazowy'!#REF!</f>
        <v>#REF!</v>
      </c>
      <c r="AC28" s="310" t="e">
        <f>+'Zał.1_WPF_bazowy'!#REF!</f>
        <v>#REF!</v>
      </c>
      <c r="AD28" s="310" t="e">
        <f>+'Zał.1_WPF_bazowy'!#REF!</f>
        <v>#REF!</v>
      </c>
      <c r="AE28" s="310" t="e">
        <f>+'Zał.1_WPF_bazowy'!#REF!</f>
        <v>#REF!</v>
      </c>
      <c r="AF28" s="310" t="e">
        <f>+'Zał.1_WPF_bazowy'!#REF!</f>
        <v>#REF!</v>
      </c>
      <c r="AG28" s="310" t="e">
        <f>+'Zał.1_WPF_bazowy'!#REF!</f>
        <v>#REF!</v>
      </c>
      <c r="AH28" s="310" t="e">
        <f>+'Zał.1_WPF_bazowy'!#REF!</f>
        <v>#REF!</v>
      </c>
      <c r="AI28" s="310" t="e">
        <f>+'Zał.1_WPF_bazowy'!#REF!</f>
        <v>#REF!</v>
      </c>
      <c r="AJ28" s="310" t="e">
        <f>+'Zał.1_WPF_bazowy'!#REF!</f>
        <v>#REF!</v>
      </c>
      <c r="AK28" s="310" t="e">
        <f>+'Zał.1_WPF_bazowy'!#REF!</f>
        <v>#REF!</v>
      </c>
      <c r="AL28" s="311" t="e">
        <f>+'Zał.1_WPF_bazowy'!#REF!</f>
        <v>#REF!</v>
      </c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0"/>
      <c r="IP28" s="120"/>
      <c r="IQ28" s="120"/>
      <c r="IR28" s="120"/>
      <c r="IS28" s="120"/>
    </row>
    <row r="29" spans="1:38" s="142" customFormat="1" ht="15" outlineLevel="1">
      <c r="A29" s="374" t="s">
        <v>31</v>
      </c>
      <c r="B29" s="45">
        <v>3</v>
      </c>
      <c r="C29" s="256" t="s">
        <v>408</v>
      </c>
      <c r="D29" s="352" t="s">
        <v>23</v>
      </c>
      <c r="E29" s="244">
        <f>'Zał.1_WPF_bazowy'!E29</f>
        <v>-4395659.15</v>
      </c>
      <c r="F29" s="245">
        <f>'Zał.1_WPF_bazowy'!F29</f>
        <v>-2429742.62</v>
      </c>
      <c r="G29" s="245">
        <f>'Zał.1_WPF_bazowy'!G29</f>
        <v>3607495</v>
      </c>
      <c r="H29" s="115">
        <f>+H10-H21</f>
        <v>4104371.1000000015</v>
      </c>
      <c r="I29" s="113">
        <f>+I10-I21</f>
        <v>338258</v>
      </c>
      <c r="J29" s="114">
        <f aca="true" t="shared" si="2" ref="J29:AL29">+J10-J21</f>
        <v>35035</v>
      </c>
      <c r="K29" s="114">
        <f t="shared" si="2"/>
        <v>374035</v>
      </c>
      <c r="L29" s="114">
        <f t="shared" si="2"/>
        <v>915135</v>
      </c>
      <c r="M29" s="114">
        <f t="shared" si="2"/>
        <v>915135</v>
      </c>
      <c r="N29" s="114">
        <f t="shared" si="2"/>
        <v>865515</v>
      </c>
      <c r="O29" s="114">
        <f t="shared" si="2"/>
        <v>775551</v>
      </c>
      <c r="P29" s="114">
        <f t="shared" si="2"/>
        <v>581551</v>
      </c>
      <c r="Q29" s="114">
        <f t="shared" si="2"/>
        <v>716851</v>
      </c>
      <c r="R29" s="114">
        <f t="shared" si="2"/>
        <v>716851</v>
      </c>
      <c r="S29" s="114">
        <f t="shared" si="2"/>
        <v>669451</v>
      </c>
      <c r="T29" s="114">
        <f t="shared" si="2"/>
        <v>454350</v>
      </c>
      <c r="U29" s="114" t="e">
        <f t="shared" si="2"/>
        <v>#REF!</v>
      </c>
      <c r="V29" s="114" t="e">
        <f t="shared" si="2"/>
        <v>#REF!</v>
      </c>
      <c r="W29" s="114" t="e">
        <f t="shared" si="2"/>
        <v>#REF!</v>
      </c>
      <c r="X29" s="114" t="e">
        <f t="shared" si="2"/>
        <v>#REF!</v>
      </c>
      <c r="Y29" s="114" t="e">
        <f t="shared" si="2"/>
        <v>#REF!</v>
      </c>
      <c r="Z29" s="114" t="e">
        <f t="shared" si="2"/>
        <v>#REF!</v>
      </c>
      <c r="AA29" s="114" t="e">
        <f t="shared" si="2"/>
        <v>#REF!</v>
      </c>
      <c r="AB29" s="114" t="e">
        <f t="shared" si="2"/>
        <v>#REF!</v>
      </c>
      <c r="AC29" s="114" t="e">
        <f t="shared" si="2"/>
        <v>#REF!</v>
      </c>
      <c r="AD29" s="114" t="e">
        <f t="shared" si="2"/>
        <v>#REF!</v>
      </c>
      <c r="AE29" s="114" t="e">
        <f t="shared" si="2"/>
        <v>#REF!</v>
      </c>
      <c r="AF29" s="114" t="e">
        <f t="shared" si="2"/>
        <v>#REF!</v>
      </c>
      <c r="AG29" s="114" t="e">
        <f t="shared" si="2"/>
        <v>#REF!</v>
      </c>
      <c r="AH29" s="114" t="e">
        <f t="shared" si="2"/>
        <v>#REF!</v>
      </c>
      <c r="AI29" s="114" t="e">
        <f t="shared" si="2"/>
        <v>#REF!</v>
      </c>
      <c r="AJ29" s="114" t="e">
        <f t="shared" si="2"/>
        <v>#REF!</v>
      </c>
      <c r="AK29" s="114" t="e">
        <f t="shared" si="2"/>
        <v>#REF!</v>
      </c>
      <c r="AL29" s="115" t="e">
        <f t="shared" si="2"/>
        <v>#REF!</v>
      </c>
    </row>
    <row r="30" spans="1:38" s="142" customFormat="1" ht="15" outlineLevel="1">
      <c r="A30" s="374" t="s">
        <v>31</v>
      </c>
      <c r="B30" s="45">
        <v>4</v>
      </c>
      <c r="C30" s="256" t="s">
        <v>409</v>
      </c>
      <c r="D30" s="352" t="s">
        <v>24</v>
      </c>
      <c r="E30" s="244">
        <f>'Zał.1_WPF_bazowy'!E30</f>
        <v>4079816.92</v>
      </c>
      <c r="F30" s="245">
        <f>'Zał.1_WPF_bazowy'!F30</f>
        <v>3181535.26</v>
      </c>
      <c r="G30" s="245">
        <f>'Zał.1_WPF_bazowy'!G30</f>
        <v>1351976</v>
      </c>
      <c r="H30" s="115">
        <f>+H31+H33+H35+H37</f>
        <v>1088986.44</v>
      </c>
      <c r="I30" s="113">
        <f>+I31+I33+I35+I37</f>
        <v>496877</v>
      </c>
      <c r="J30" s="114">
        <f aca="true" t="shared" si="3" ref="J30:AL30">+J31+J33+J35+J37</f>
        <v>800100</v>
      </c>
      <c r="K30" s="114">
        <f t="shared" si="3"/>
        <v>501100</v>
      </c>
      <c r="L30" s="114">
        <f t="shared" si="3"/>
        <v>0</v>
      </c>
      <c r="M30" s="114">
        <f t="shared" si="3"/>
        <v>0</v>
      </c>
      <c r="N30" s="114">
        <f t="shared" si="3"/>
        <v>0</v>
      </c>
      <c r="O30" s="114">
        <f t="shared" si="3"/>
        <v>0</v>
      </c>
      <c r="P30" s="114">
        <f t="shared" si="3"/>
        <v>0</v>
      </c>
      <c r="Q30" s="114">
        <f t="shared" si="3"/>
        <v>0</v>
      </c>
      <c r="R30" s="114">
        <f t="shared" si="3"/>
        <v>0</v>
      </c>
      <c r="S30" s="114">
        <f t="shared" si="3"/>
        <v>0</v>
      </c>
      <c r="T30" s="114">
        <f t="shared" si="3"/>
        <v>0</v>
      </c>
      <c r="U30" s="114" t="e">
        <f t="shared" si="3"/>
        <v>#REF!</v>
      </c>
      <c r="V30" s="114" t="e">
        <f t="shared" si="3"/>
        <v>#REF!</v>
      </c>
      <c r="W30" s="114" t="e">
        <f t="shared" si="3"/>
        <v>#REF!</v>
      </c>
      <c r="X30" s="114" t="e">
        <f t="shared" si="3"/>
        <v>#REF!</v>
      </c>
      <c r="Y30" s="114" t="e">
        <f t="shared" si="3"/>
        <v>#REF!</v>
      </c>
      <c r="Z30" s="114" t="e">
        <f t="shared" si="3"/>
        <v>#REF!</v>
      </c>
      <c r="AA30" s="114" t="e">
        <f t="shared" si="3"/>
        <v>#REF!</v>
      </c>
      <c r="AB30" s="114" t="e">
        <f t="shared" si="3"/>
        <v>#REF!</v>
      </c>
      <c r="AC30" s="114" t="e">
        <f t="shared" si="3"/>
        <v>#REF!</v>
      </c>
      <c r="AD30" s="114" t="e">
        <f t="shared" si="3"/>
        <v>#REF!</v>
      </c>
      <c r="AE30" s="114" t="e">
        <f t="shared" si="3"/>
        <v>#REF!</v>
      </c>
      <c r="AF30" s="114" t="e">
        <f t="shared" si="3"/>
        <v>#REF!</v>
      </c>
      <c r="AG30" s="114" t="e">
        <f t="shared" si="3"/>
        <v>#REF!</v>
      </c>
      <c r="AH30" s="114" t="e">
        <f t="shared" si="3"/>
        <v>#REF!</v>
      </c>
      <c r="AI30" s="114" t="e">
        <f t="shared" si="3"/>
        <v>#REF!</v>
      </c>
      <c r="AJ30" s="114" t="e">
        <f t="shared" si="3"/>
        <v>#REF!</v>
      </c>
      <c r="AK30" s="114" t="e">
        <f t="shared" si="3"/>
        <v>#REF!</v>
      </c>
      <c r="AL30" s="115" t="e">
        <f t="shared" si="3"/>
        <v>#REF!</v>
      </c>
    </row>
    <row r="31" spans="1:38" ht="14.25" outlineLevel="2">
      <c r="A31" s="374" t="s">
        <v>31</v>
      </c>
      <c r="B31" s="46" t="s">
        <v>168</v>
      </c>
      <c r="C31" s="257"/>
      <c r="D31" s="354" t="s">
        <v>227</v>
      </c>
      <c r="E31" s="246">
        <f>'Zał.1_WPF_bazowy'!E31</f>
        <v>0</v>
      </c>
      <c r="F31" s="247">
        <f>'Zał.1_WPF_bazowy'!F31</f>
        <v>0</v>
      </c>
      <c r="G31" s="247">
        <f>'Zał.1_WPF_bazowy'!G31</f>
        <v>1088986</v>
      </c>
      <c r="H31" s="308">
        <f>'Zał.1_WPF_bazowy'!H31</f>
        <v>1088986.44</v>
      </c>
      <c r="I31" s="309">
        <f>+'Zał.1_WPF_bazowy'!I31</f>
        <v>0</v>
      </c>
      <c r="J31" s="310">
        <f>+'Zał.1_WPF_bazowy'!J31</f>
        <v>0</v>
      </c>
      <c r="K31" s="310">
        <f>+'Zał.1_WPF_bazowy'!K31</f>
        <v>0</v>
      </c>
      <c r="L31" s="310">
        <f>+'Zał.1_WPF_bazowy'!L31</f>
        <v>0</v>
      </c>
      <c r="M31" s="310">
        <f>+'Zał.1_WPF_bazowy'!M31</f>
        <v>0</v>
      </c>
      <c r="N31" s="310">
        <f>+'Zał.1_WPF_bazowy'!N31</f>
        <v>0</v>
      </c>
      <c r="O31" s="310">
        <f>+'Zał.1_WPF_bazowy'!O31</f>
        <v>0</v>
      </c>
      <c r="P31" s="310">
        <f>+'Zał.1_WPF_bazowy'!P31</f>
        <v>0</v>
      </c>
      <c r="Q31" s="310">
        <f>+'Zał.1_WPF_bazowy'!Q31</f>
        <v>0</v>
      </c>
      <c r="R31" s="310">
        <f>+'Zał.1_WPF_bazowy'!R31</f>
        <v>0</v>
      </c>
      <c r="S31" s="310">
        <f>+'Zał.1_WPF_bazowy'!S31</f>
        <v>0</v>
      </c>
      <c r="T31" s="310">
        <f>+'Zał.1_WPF_bazowy'!T31</f>
        <v>0</v>
      </c>
      <c r="U31" s="310" t="e">
        <f>+'Zał.1_WPF_bazowy'!#REF!</f>
        <v>#REF!</v>
      </c>
      <c r="V31" s="310" t="e">
        <f>+'Zał.1_WPF_bazowy'!#REF!</f>
        <v>#REF!</v>
      </c>
      <c r="W31" s="310" t="e">
        <f>+'Zał.1_WPF_bazowy'!#REF!</f>
        <v>#REF!</v>
      </c>
      <c r="X31" s="310" t="e">
        <f>+'Zał.1_WPF_bazowy'!#REF!</f>
        <v>#REF!</v>
      </c>
      <c r="Y31" s="310" t="e">
        <f>+'Zał.1_WPF_bazowy'!#REF!</f>
        <v>#REF!</v>
      </c>
      <c r="Z31" s="310" t="e">
        <f>+'Zał.1_WPF_bazowy'!#REF!</f>
        <v>#REF!</v>
      </c>
      <c r="AA31" s="310" t="e">
        <f>+'Zał.1_WPF_bazowy'!#REF!</f>
        <v>#REF!</v>
      </c>
      <c r="AB31" s="310" t="e">
        <f>+'Zał.1_WPF_bazowy'!#REF!</f>
        <v>#REF!</v>
      </c>
      <c r="AC31" s="310" t="e">
        <f>+'Zał.1_WPF_bazowy'!#REF!</f>
        <v>#REF!</v>
      </c>
      <c r="AD31" s="310" t="e">
        <f>+'Zał.1_WPF_bazowy'!#REF!</f>
        <v>#REF!</v>
      </c>
      <c r="AE31" s="310" t="e">
        <f>+'Zał.1_WPF_bazowy'!#REF!</f>
        <v>#REF!</v>
      </c>
      <c r="AF31" s="310" t="e">
        <f>+'Zał.1_WPF_bazowy'!#REF!</f>
        <v>#REF!</v>
      </c>
      <c r="AG31" s="310" t="e">
        <f>+'Zał.1_WPF_bazowy'!#REF!</f>
        <v>#REF!</v>
      </c>
      <c r="AH31" s="310" t="e">
        <f>+'Zał.1_WPF_bazowy'!#REF!</f>
        <v>#REF!</v>
      </c>
      <c r="AI31" s="310" t="e">
        <f>+'Zał.1_WPF_bazowy'!#REF!</f>
        <v>#REF!</v>
      </c>
      <c r="AJ31" s="310" t="e">
        <f>+'Zał.1_WPF_bazowy'!#REF!</f>
        <v>#REF!</v>
      </c>
      <c r="AK31" s="310" t="e">
        <f>+'Zał.1_WPF_bazowy'!#REF!</f>
        <v>#REF!</v>
      </c>
      <c r="AL31" s="311" t="e">
        <f>+'Zał.1_WPF_bazowy'!#REF!</f>
        <v>#REF!</v>
      </c>
    </row>
    <row r="32" spans="1:38" ht="14.25" outlineLevel="2">
      <c r="A32" s="374" t="s">
        <v>31</v>
      </c>
      <c r="B32" s="46" t="s">
        <v>74</v>
      </c>
      <c r="C32" s="257"/>
      <c r="D32" s="355" t="s">
        <v>228</v>
      </c>
      <c r="E32" s="246">
        <f>'Zał.1_WPF_bazowy'!E32</f>
        <v>0</v>
      </c>
      <c r="F32" s="247">
        <f>'Zał.1_WPF_bazowy'!F32</f>
        <v>0</v>
      </c>
      <c r="G32" s="247">
        <f>'Zał.1_WPF_bazowy'!G32</f>
        <v>0</v>
      </c>
      <c r="H32" s="308">
        <f>'Zał.1_WPF_bazowy'!H32</f>
        <v>0</v>
      </c>
      <c r="I32" s="309">
        <f>+'Zał.1_WPF_bazowy'!I32</f>
        <v>0</v>
      </c>
      <c r="J32" s="310">
        <f>+'Zał.1_WPF_bazowy'!J32</f>
        <v>0</v>
      </c>
      <c r="K32" s="310">
        <f>+'Zał.1_WPF_bazowy'!K32</f>
        <v>0</v>
      </c>
      <c r="L32" s="310">
        <f>+'Zał.1_WPF_bazowy'!L32</f>
        <v>0</v>
      </c>
      <c r="M32" s="310">
        <f>+'Zał.1_WPF_bazowy'!M32</f>
        <v>0</v>
      </c>
      <c r="N32" s="310">
        <f>+'Zał.1_WPF_bazowy'!N32</f>
        <v>0</v>
      </c>
      <c r="O32" s="310">
        <f>+'Zał.1_WPF_bazowy'!O32</f>
        <v>0</v>
      </c>
      <c r="P32" s="310">
        <f>+'Zał.1_WPF_bazowy'!P32</f>
        <v>0</v>
      </c>
      <c r="Q32" s="310">
        <f>+'Zał.1_WPF_bazowy'!Q32</f>
        <v>0</v>
      </c>
      <c r="R32" s="310">
        <f>+'Zał.1_WPF_bazowy'!R32</f>
        <v>0</v>
      </c>
      <c r="S32" s="310">
        <f>+'Zał.1_WPF_bazowy'!S32</f>
        <v>0</v>
      </c>
      <c r="T32" s="310">
        <f>+'Zał.1_WPF_bazowy'!T32</f>
        <v>0</v>
      </c>
      <c r="U32" s="310" t="e">
        <f>+'Zał.1_WPF_bazowy'!#REF!</f>
        <v>#REF!</v>
      </c>
      <c r="V32" s="310" t="e">
        <f>+'Zał.1_WPF_bazowy'!#REF!</f>
        <v>#REF!</v>
      </c>
      <c r="W32" s="310" t="e">
        <f>+'Zał.1_WPF_bazowy'!#REF!</f>
        <v>#REF!</v>
      </c>
      <c r="X32" s="310" t="e">
        <f>+'Zał.1_WPF_bazowy'!#REF!</f>
        <v>#REF!</v>
      </c>
      <c r="Y32" s="310" t="e">
        <f>+'Zał.1_WPF_bazowy'!#REF!</f>
        <v>#REF!</v>
      </c>
      <c r="Z32" s="310" t="e">
        <f>+'Zał.1_WPF_bazowy'!#REF!</f>
        <v>#REF!</v>
      </c>
      <c r="AA32" s="310" t="e">
        <f>+'Zał.1_WPF_bazowy'!#REF!</f>
        <v>#REF!</v>
      </c>
      <c r="AB32" s="310" t="e">
        <f>+'Zał.1_WPF_bazowy'!#REF!</f>
        <v>#REF!</v>
      </c>
      <c r="AC32" s="310" t="e">
        <f>+'Zał.1_WPF_bazowy'!#REF!</f>
        <v>#REF!</v>
      </c>
      <c r="AD32" s="310" t="e">
        <f>+'Zał.1_WPF_bazowy'!#REF!</f>
        <v>#REF!</v>
      </c>
      <c r="AE32" s="310" t="e">
        <f>+'Zał.1_WPF_bazowy'!#REF!</f>
        <v>#REF!</v>
      </c>
      <c r="AF32" s="310" t="e">
        <f>+'Zał.1_WPF_bazowy'!#REF!</f>
        <v>#REF!</v>
      </c>
      <c r="AG32" s="310" t="e">
        <f>+'Zał.1_WPF_bazowy'!#REF!</f>
        <v>#REF!</v>
      </c>
      <c r="AH32" s="310" t="e">
        <f>+'Zał.1_WPF_bazowy'!#REF!</f>
        <v>#REF!</v>
      </c>
      <c r="AI32" s="310" t="e">
        <f>+'Zał.1_WPF_bazowy'!#REF!</f>
        <v>#REF!</v>
      </c>
      <c r="AJ32" s="310" t="e">
        <f>+'Zał.1_WPF_bazowy'!#REF!</f>
        <v>#REF!</v>
      </c>
      <c r="AK32" s="310" t="e">
        <f>+'Zał.1_WPF_bazowy'!#REF!</f>
        <v>#REF!</v>
      </c>
      <c r="AL32" s="311" t="e">
        <f>+'Zał.1_WPF_bazowy'!#REF!</f>
        <v>#REF!</v>
      </c>
    </row>
    <row r="33" spans="1:38" ht="14.25" outlineLevel="2">
      <c r="A33" s="374" t="s">
        <v>31</v>
      </c>
      <c r="B33" s="46" t="s">
        <v>169</v>
      </c>
      <c r="C33" s="257"/>
      <c r="D33" s="354" t="s">
        <v>229</v>
      </c>
      <c r="E33" s="246">
        <f>'Zał.1_WPF_bazowy'!E33</f>
        <v>0</v>
      </c>
      <c r="F33" s="247">
        <f>'Zał.1_WPF_bazowy'!F33</f>
        <v>0</v>
      </c>
      <c r="G33" s="247">
        <f>'Zał.1_WPF_bazowy'!G33</f>
        <v>0</v>
      </c>
      <c r="H33" s="308">
        <f>'Zał.1_WPF_bazowy'!H33</f>
        <v>0</v>
      </c>
      <c r="I33" s="309">
        <f>+'Zał.1_WPF_bazowy'!I33</f>
        <v>315881</v>
      </c>
      <c r="J33" s="310">
        <f>+'Zał.1_WPF_bazowy'!J33</f>
        <v>0</v>
      </c>
      <c r="K33" s="310">
        <f>+'Zał.1_WPF_bazowy'!K33</f>
        <v>0</v>
      </c>
      <c r="L33" s="310">
        <f>+'Zał.1_WPF_bazowy'!L33</f>
        <v>0</v>
      </c>
      <c r="M33" s="310">
        <f>+'Zał.1_WPF_bazowy'!M33</f>
        <v>0</v>
      </c>
      <c r="N33" s="310">
        <f>+'Zał.1_WPF_bazowy'!N33</f>
        <v>0</v>
      </c>
      <c r="O33" s="310">
        <f>+'Zał.1_WPF_bazowy'!O33</f>
        <v>0</v>
      </c>
      <c r="P33" s="310">
        <f>+'Zał.1_WPF_bazowy'!P33</f>
        <v>0</v>
      </c>
      <c r="Q33" s="310">
        <f>+'Zał.1_WPF_bazowy'!Q33</f>
        <v>0</v>
      </c>
      <c r="R33" s="310">
        <f>+'Zał.1_WPF_bazowy'!R33</f>
        <v>0</v>
      </c>
      <c r="S33" s="310">
        <f>+'Zał.1_WPF_bazowy'!S33</f>
        <v>0</v>
      </c>
      <c r="T33" s="310">
        <f>+'Zał.1_WPF_bazowy'!T33</f>
        <v>0</v>
      </c>
      <c r="U33" s="310" t="e">
        <f>+'Zał.1_WPF_bazowy'!#REF!</f>
        <v>#REF!</v>
      </c>
      <c r="V33" s="310" t="e">
        <f>+'Zał.1_WPF_bazowy'!#REF!</f>
        <v>#REF!</v>
      </c>
      <c r="W33" s="310" t="e">
        <f>+'Zał.1_WPF_bazowy'!#REF!</f>
        <v>#REF!</v>
      </c>
      <c r="X33" s="310" t="e">
        <f>+'Zał.1_WPF_bazowy'!#REF!</f>
        <v>#REF!</v>
      </c>
      <c r="Y33" s="310" t="e">
        <f>+'Zał.1_WPF_bazowy'!#REF!</f>
        <v>#REF!</v>
      </c>
      <c r="Z33" s="310" t="e">
        <f>+'Zał.1_WPF_bazowy'!#REF!</f>
        <v>#REF!</v>
      </c>
      <c r="AA33" s="310" t="e">
        <f>+'Zał.1_WPF_bazowy'!#REF!</f>
        <v>#REF!</v>
      </c>
      <c r="AB33" s="310" t="e">
        <f>+'Zał.1_WPF_bazowy'!#REF!</f>
        <v>#REF!</v>
      </c>
      <c r="AC33" s="310" t="e">
        <f>+'Zał.1_WPF_bazowy'!#REF!</f>
        <v>#REF!</v>
      </c>
      <c r="AD33" s="310" t="e">
        <f>+'Zał.1_WPF_bazowy'!#REF!</f>
        <v>#REF!</v>
      </c>
      <c r="AE33" s="310" t="e">
        <f>+'Zał.1_WPF_bazowy'!#REF!</f>
        <v>#REF!</v>
      </c>
      <c r="AF33" s="310" t="e">
        <f>+'Zał.1_WPF_bazowy'!#REF!</f>
        <v>#REF!</v>
      </c>
      <c r="AG33" s="310" t="e">
        <f>+'Zał.1_WPF_bazowy'!#REF!</f>
        <v>#REF!</v>
      </c>
      <c r="AH33" s="310" t="e">
        <f>+'Zał.1_WPF_bazowy'!#REF!</f>
        <v>#REF!</v>
      </c>
      <c r="AI33" s="310" t="e">
        <f>+'Zał.1_WPF_bazowy'!#REF!</f>
        <v>#REF!</v>
      </c>
      <c r="AJ33" s="310" t="e">
        <f>+'Zał.1_WPF_bazowy'!#REF!</f>
        <v>#REF!</v>
      </c>
      <c r="AK33" s="310" t="e">
        <f>+'Zał.1_WPF_bazowy'!#REF!</f>
        <v>#REF!</v>
      </c>
      <c r="AL33" s="311" t="e">
        <f>+'Zał.1_WPF_bazowy'!#REF!</f>
        <v>#REF!</v>
      </c>
    </row>
    <row r="34" spans="1:38" ht="14.25" outlineLevel="2">
      <c r="A34" s="374" t="s">
        <v>31</v>
      </c>
      <c r="B34" s="46" t="s">
        <v>77</v>
      </c>
      <c r="C34" s="257"/>
      <c r="D34" s="355" t="s">
        <v>228</v>
      </c>
      <c r="E34" s="246">
        <f>'Zał.1_WPF_bazowy'!E34</f>
        <v>0</v>
      </c>
      <c r="F34" s="247">
        <f>'Zał.1_WPF_bazowy'!F34</f>
        <v>0</v>
      </c>
      <c r="G34" s="247">
        <f>'Zał.1_WPF_bazowy'!G34</f>
        <v>0</v>
      </c>
      <c r="H34" s="308">
        <f>'Zał.1_WPF_bazowy'!H34</f>
        <v>0</v>
      </c>
      <c r="I34" s="309">
        <f>+'Zał.1_WPF_bazowy'!I34</f>
        <v>0</v>
      </c>
      <c r="J34" s="310">
        <f>+'Zał.1_WPF_bazowy'!J34</f>
        <v>0</v>
      </c>
      <c r="K34" s="310">
        <f>+'Zał.1_WPF_bazowy'!K34</f>
        <v>0</v>
      </c>
      <c r="L34" s="310">
        <f>+'Zał.1_WPF_bazowy'!L34</f>
        <v>0</v>
      </c>
      <c r="M34" s="310">
        <f>+'Zał.1_WPF_bazowy'!M34</f>
        <v>0</v>
      </c>
      <c r="N34" s="310">
        <f>+'Zał.1_WPF_bazowy'!N34</f>
        <v>0</v>
      </c>
      <c r="O34" s="310">
        <f>+'Zał.1_WPF_bazowy'!O34</f>
        <v>0</v>
      </c>
      <c r="P34" s="310">
        <f>+'Zał.1_WPF_bazowy'!P34</f>
        <v>0</v>
      </c>
      <c r="Q34" s="310">
        <f>+'Zał.1_WPF_bazowy'!Q34</f>
        <v>0</v>
      </c>
      <c r="R34" s="310">
        <f>+'Zał.1_WPF_bazowy'!R34</f>
        <v>0</v>
      </c>
      <c r="S34" s="310">
        <f>+'Zał.1_WPF_bazowy'!S34</f>
        <v>0</v>
      </c>
      <c r="T34" s="310">
        <f>+'Zał.1_WPF_bazowy'!T34</f>
        <v>0</v>
      </c>
      <c r="U34" s="310" t="e">
        <f>+'Zał.1_WPF_bazowy'!#REF!</f>
        <v>#REF!</v>
      </c>
      <c r="V34" s="310" t="e">
        <f>+'Zał.1_WPF_bazowy'!#REF!</f>
        <v>#REF!</v>
      </c>
      <c r="W34" s="310" t="e">
        <f>+'Zał.1_WPF_bazowy'!#REF!</f>
        <v>#REF!</v>
      </c>
      <c r="X34" s="310" t="e">
        <f>+'Zał.1_WPF_bazowy'!#REF!</f>
        <v>#REF!</v>
      </c>
      <c r="Y34" s="310" t="e">
        <f>+'Zał.1_WPF_bazowy'!#REF!</f>
        <v>#REF!</v>
      </c>
      <c r="Z34" s="310" t="e">
        <f>+'Zał.1_WPF_bazowy'!#REF!</f>
        <v>#REF!</v>
      </c>
      <c r="AA34" s="310" t="e">
        <f>+'Zał.1_WPF_bazowy'!#REF!</f>
        <v>#REF!</v>
      </c>
      <c r="AB34" s="310" t="e">
        <f>+'Zał.1_WPF_bazowy'!#REF!</f>
        <v>#REF!</v>
      </c>
      <c r="AC34" s="310" t="e">
        <f>+'Zał.1_WPF_bazowy'!#REF!</f>
        <v>#REF!</v>
      </c>
      <c r="AD34" s="310" t="e">
        <f>+'Zał.1_WPF_bazowy'!#REF!</f>
        <v>#REF!</v>
      </c>
      <c r="AE34" s="310" t="e">
        <f>+'Zał.1_WPF_bazowy'!#REF!</f>
        <v>#REF!</v>
      </c>
      <c r="AF34" s="310" t="e">
        <f>+'Zał.1_WPF_bazowy'!#REF!</f>
        <v>#REF!</v>
      </c>
      <c r="AG34" s="310" t="e">
        <f>+'Zał.1_WPF_bazowy'!#REF!</f>
        <v>#REF!</v>
      </c>
      <c r="AH34" s="310" t="e">
        <f>+'Zał.1_WPF_bazowy'!#REF!</f>
        <v>#REF!</v>
      </c>
      <c r="AI34" s="310" t="e">
        <f>+'Zał.1_WPF_bazowy'!#REF!</f>
        <v>#REF!</v>
      </c>
      <c r="AJ34" s="310" t="e">
        <f>+'Zał.1_WPF_bazowy'!#REF!</f>
        <v>#REF!</v>
      </c>
      <c r="AK34" s="310" t="e">
        <f>+'Zał.1_WPF_bazowy'!#REF!</f>
        <v>#REF!</v>
      </c>
      <c r="AL34" s="311" t="e">
        <f>+'Zał.1_WPF_bazowy'!#REF!</f>
        <v>#REF!</v>
      </c>
    </row>
    <row r="35" spans="1:38" ht="14.25" outlineLevel="2">
      <c r="A35" s="374" t="s">
        <v>31</v>
      </c>
      <c r="B35" s="46" t="s">
        <v>170</v>
      </c>
      <c r="C35" s="257"/>
      <c r="D35" s="354" t="s">
        <v>230</v>
      </c>
      <c r="E35" s="246">
        <f>'Zał.1_WPF_bazowy'!E35</f>
        <v>4079816.92</v>
      </c>
      <c r="F35" s="247">
        <f>'Zał.1_WPF_bazowy'!F35</f>
        <v>3181535.26</v>
      </c>
      <c r="G35" s="247">
        <f>'Zał.1_WPF_bazowy'!G35</f>
        <v>262990</v>
      </c>
      <c r="H35" s="308">
        <f>'Zał.1_WPF_bazowy'!H35</f>
        <v>0</v>
      </c>
      <c r="I35" s="309">
        <f>+'Zał.1_WPF_bazowy'!I35</f>
        <v>0</v>
      </c>
      <c r="J35" s="310">
        <f>+'Zał.1_WPF_bazowy'!J35</f>
        <v>800100</v>
      </c>
      <c r="K35" s="310">
        <f>+'Zał.1_WPF_bazowy'!K35</f>
        <v>501100</v>
      </c>
      <c r="L35" s="310">
        <f>+'Zał.1_WPF_bazowy'!L35</f>
        <v>0</v>
      </c>
      <c r="M35" s="310">
        <f>+'Zał.1_WPF_bazowy'!M35</f>
        <v>0</v>
      </c>
      <c r="N35" s="310">
        <f>+'Zał.1_WPF_bazowy'!N35</f>
        <v>0</v>
      </c>
      <c r="O35" s="310">
        <f>+'Zał.1_WPF_bazowy'!O35</f>
        <v>0</v>
      </c>
      <c r="P35" s="310">
        <f>+'Zał.1_WPF_bazowy'!P35</f>
        <v>0</v>
      </c>
      <c r="Q35" s="310">
        <f>+'Zał.1_WPF_bazowy'!Q35</f>
        <v>0</v>
      </c>
      <c r="R35" s="310">
        <f>+'Zał.1_WPF_bazowy'!R35</f>
        <v>0</v>
      </c>
      <c r="S35" s="310">
        <f>+'Zał.1_WPF_bazowy'!S35</f>
        <v>0</v>
      </c>
      <c r="T35" s="310">
        <f>+'Zał.1_WPF_bazowy'!T35</f>
        <v>0</v>
      </c>
      <c r="U35" s="310" t="e">
        <f>+'Zał.1_WPF_bazowy'!#REF!</f>
        <v>#REF!</v>
      </c>
      <c r="V35" s="310" t="e">
        <f>+'Zał.1_WPF_bazowy'!#REF!</f>
        <v>#REF!</v>
      </c>
      <c r="W35" s="310" t="e">
        <f>+'Zał.1_WPF_bazowy'!#REF!</f>
        <v>#REF!</v>
      </c>
      <c r="X35" s="310" t="e">
        <f>+'Zał.1_WPF_bazowy'!#REF!</f>
        <v>#REF!</v>
      </c>
      <c r="Y35" s="310" t="e">
        <f>+'Zał.1_WPF_bazowy'!#REF!</f>
        <v>#REF!</v>
      </c>
      <c r="Z35" s="310" t="e">
        <f>+'Zał.1_WPF_bazowy'!#REF!</f>
        <v>#REF!</v>
      </c>
      <c r="AA35" s="310" t="e">
        <f>+'Zał.1_WPF_bazowy'!#REF!</f>
        <v>#REF!</v>
      </c>
      <c r="AB35" s="310" t="e">
        <f>+'Zał.1_WPF_bazowy'!#REF!</f>
        <v>#REF!</v>
      </c>
      <c r="AC35" s="310" t="e">
        <f>+'Zał.1_WPF_bazowy'!#REF!</f>
        <v>#REF!</v>
      </c>
      <c r="AD35" s="310" t="e">
        <f>+'Zał.1_WPF_bazowy'!#REF!</f>
        <v>#REF!</v>
      </c>
      <c r="AE35" s="310" t="e">
        <f>+'Zał.1_WPF_bazowy'!#REF!</f>
        <v>#REF!</v>
      </c>
      <c r="AF35" s="310" t="e">
        <f>+'Zał.1_WPF_bazowy'!#REF!</f>
        <v>#REF!</v>
      </c>
      <c r="AG35" s="310" t="e">
        <f>+'Zał.1_WPF_bazowy'!#REF!</f>
        <v>#REF!</v>
      </c>
      <c r="AH35" s="310" t="e">
        <f>+'Zał.1_WPF_bazowy'!#REF!</f>
        <v>#REF!</v>
      </c>
      <c r="AI35" s="310" t="e">
        <f>+'Zał.1_WPF_bazowy'!#REF!</f>
        <v>#REF!</v>
      </c>
      <c r="AJ35" s="310" t="e">
        <f>+'Zał.1_WPF_bazowy'!#REF!</f>
        <v>#REF!</v>
      </c>
      <c r="AK35" s="310" t="e">
        <f>+'Zał.1_WPF_bazowy'!#REF!</f>
        <v>#REF!</v>
      </c>
      <c r="AL35" s="311" t="e">
        <f>+'Zał.1_WPF_bazowy'!#REF!</f>
        <v>#REF!</v>
      </c>
    </row>
    <row r="36" spans="1:38" ht="14.25" outlineLevel="2">
      <c r="A36" s="374" t="s">
        <v>31</v>
      </c>
      <c r="B36" s="46" t="s">
        <v>80</v>
      </c>
      <c r="C36" s="257"/>
      <c r="D36" s="355" t="s">
        <v>228</v>
      </c>
      <c r="E36" s="246">
        <f>'Zał.1_WPF_bazowy'!E36</f>
        <v>0</v>
      </c>
      <c r="F36" s="247">
        <f>'Zał.1_WPF_bazowy'!F36</f>
        <v>0</v>
      </c>
      <c r="G36" s="247">
        <f>'Zał.1_WPF_bazowy'!G36</f>
        <v>0</v>
      </c>
      <c r="H36" s="308">
        <f>'Zał.1_WPF_bazowy'!H36</f>
        <v>0</v>
      </c>
      <c r="I36" s="309">
        <f>+'Zał.1_WPF_bazowy'!I36</f>
        <v>0</v>
      </c>
      <c r="J36" s="310">
        <f>+'Zał.1_WPF_bazowy'!J36</f>
        <v>0</v>
      </c>
      <c r="K36" s="310">
        <f>+'Zał.1_WPF_bazowy'!K36</f>
        <v>0</v>
      </c>
      <c r="L36" s="310">
        <f>+'Zał.1_WPF_bazowy'!L36</f>
        <v>0</v>
      </c>
      <c r="M36" s="310">
        <f>+'Zał.1_WPF_bazowy'!M36</f>
        <v>0</v>
      </c>
      <c r="N36" s="310">
        <f>+'Zał.1_WPF_bazowy'!N36</f>
        <v>0</v>
      </c>
      <c r="O36" s="310">
        <f>+'Zał.1_WPF_bazowy'!O36</f>
        <v>0</v>
      </c>
      <c r="P36" s="310">
        <f>+'Zał.1_WPF_bazowy'!P36</f>
        <v>0</v>
      </c>
      <c r="Q36" s="310">
        <f>+'Zał.1_WPF_bazowy'!Q36</f>
        <v>0</v>
      </c>
      <c r="R36" s="310">
        <f>+'Zał.1_WPF_bazowy'!R36</f>
        <v>0</v>
      </c>
      <c r="S36" s="310">
        <f>+'Zał.1_WPF_bazowy'!S36</f>
        <v>0</v>
      </c>
      <c r="T36" s="310">
        <f>+'Zał.1_WPF_bazowy'!T36</f>
        <v>0</v>
      </c>
      <c r="U36" s="310" t="e">
        <f>+'Zał.1_WPF_bazowy'!#REF!</f>
        <v>#REF!</v>
      </c>
      <c r="V36" s="310" t="e">
        <f>+'Zał.1_WPF_bazowy'!#REF!</f>
        <v>#REF!</v>
      </c>
      <c r="W36" s="310" t="e">
        <f>+'Zał.1_WPF_bazowy'!#REF!</f>
        <v>#REF!</v>
      </c>
      <c r="X36" s="310" t="e">
        <f>+'Zał.1_WPF_bazowy'!#REF!</f>
        <v>#REF!</v>
      </c>
      <c r="Y36" s="310" t="e">
        <f>+'Zał.1_WPF_bazowy'!#REF!</f>
        <v>#REF!</v>
      </c>
      <c r="Z36" s="310" t="e">
        <f>+'Zał.1_WPF_bazowy'!#REF!</f>
        <v>#REF!</v>
      </c>
      <c r="AA36" s="310" t="e">
        <f>+'Zał.1_WPF_bazowy'!#REF!</f>
        <v>#REF!</v>
      </c>
      <c r="AB36" s="310" t="e">
        <f>+'Zał.1_WPF_bazowy'!#REF!</f>
        <v>#REF!</v>
      </c>
      <c r="AC36" s="310" t="e">
        <f>+'Zał.1_WPF_bazowy'!#REF!</f>
        <v>#REF!</v>
      </c>
      <c r="AD36" s="310" t="e">
        <f>+'Zał.1_WPF_bazowy'!#REF!</f>
        <v>#REF!</v>
      </c>
      <c r="AE36" s="310" t="e">
        <f>+'Zał.1_WPF_bazowy'!#REF!</f>
        <v>#REF!</v>
      </c>
      <c r="AF36" s="310" t="e">
        <f>+'Zał.1_WPF_bazowy'!#REF!</f>
        <v>#REF!</v>
      </c>
      <c r="AG36" s="310" t="e">
        <f>+'Zał.1_WPF_bazowy'!#REF!</f>
        <v>#REF!</v>
      </c>
      <c r="AH36" s="310" t="e">
        <f>+'Zał.1_WPF_bazowy'!#REF!</f>
        <v>#REF!</v>
      </c>
      <c r="AI36" s="310" t="e">
        <f>+'Zał.1_WPF_bazowy'!#REF!</f>
        <v>#REF!</v>
      </c>
      <c r="AJ36" s="310" t="e">
        <f>+'Zał.1_WPF_bazowy'!#REF!</f>
        <v>#REF!</v>
      </c>
      <c r="AK36" s="310" t="e">
        <f>+'Zał.1_WPF_bazowy'!#REF!</f>
        <v>#REF!</v>
      </c>
      <c r="AL36" s="311" t="e">
        <f>+'Zał.1_WPF_bazowy'!#REF!</f>
        <v>#REF!</v>
      </c>
    </row>
    <row r="37" spans="1:38" ht="14.25" outlineLevel="2">
      <c r="A37" s="374" t="s">
        <v>31</v>
      </c>
      <c r="B37" s="46" t="s">
        <v>171</v>
      </c>
      <c r="C37" s="257"/>
      <c r="D37" s="354" t="s">
        <v>231</v>
      </c>
      <c r="E37" s="246">
        <f>'Zał.1_WPF_bazowy'!E37</f>
        <v>0</v>
      </c>
      <c r="F37" s="247">
        <f>'Zał.1_WPF_bazowy'!F37</f>
        <v>0</v>
      </c>
      <c r="G37" s="247">
        <f>'Zał.1_WPF_bazowy'!G37</f>
        <v>0</v>
      </c>
      <c r="H37" s="308">
        <f>'Zał.1_WPF_bazowy'!H37</f>
        <v>0</v>
      </c>
      <c r="I37" s="309">
        <f>+'Zał.1_WPF_bazowy'!I37</f>
        <v>180996</v>
      </c>
      <c r="J37" s="310">
        <f>+'Zał.1_WPF_bazowy'!J37</f>
        <v>0</v>
      </c>
      <c r="K37" s="310">
        <f>+'Zał.1_WPF_bazowy'!K37</f>
        <v>0</v>
      </c>
      <c r="L37" s="310">
        <f>+'Zał.1_WPF_bazowy'!L37</f>
        <v>0</v>
      </c>
      <c r="M37" s="310">
        <f>+'Zał.1_WPF_bazowy'!M37</f>
        <v>0</v>
      </c>
      <c r="N37" s="310">
        <f>+'Zał.1_WPF_bazowy'!N37</f>
        <v>0</v>
      </c>
      <c r="O37" s="310">
        <f>+'Zał.1_WPF_bazowy'!O37</f>
        <v>0</v>
      </c>
      <c r="P37" s="310">
        <f>+'Zał.1_WPF_bazowy'!P37</f>
        <v>0</v>
      </c>
      <c r="Q37" s="310">
        <f>+'Zał.1_WPF_bazowy'!Q37</f>
        <v>0</v>
      </c>
      <c r="R37" s="310">
        <f>+'Zał.1_WPF_bazowy'!R37</f>
        <v>0</v>
      </c>
      <c r="S37" s="310">
        <f>+'Zał.1_WPF_bazowy'!S37</f>
        <v>0</v>
      </c>
      <c r="T37" s="310">
        <f>+'Zał.1_WPF_bazowy'!T37</f>
        <v>0</v>
      </c>
      <c r="U37" s="310" t="e">
        <f>+'Zał.1_WPF_bazowy'!#REF!</f>
        <v>#REF!</v>
      </c>
      <c r="V37" s="310" t="e">
        <f>+'Zał.1_WPF_bazowy'!#REF!</f>
        <v>#REF!</v>
      </c>
      <c r="W37" s="310" t="e">
        <f>+'Zał.1_WPF_bazowy'!#REF!</f>
        <v>#REF!</v>
      </c>
      <c r="X37" s="310" t="e">
        <f>+'Zał.1_WPF_bazowy'!#REF!</f>
        <v>#REF!</v>
      </c>
      <c r="Y37" s="310" t="e">
        <f>+'Zał.1_WPF_bazowy'!#REF!</f>
        <v>#REF!</v>
      </c>
      <c r="Z37" s="310" t="e">
        <f>+'Zał.1_WPF_bazowy'!#REF!</f>
        <v>#REF!</v>
      </c>
      <c r="AA37" s="310" t="e">
        <f>+'Zał.1_WPF_bazowy'!#REF!</f>
        <v>#REF!</v>
      </c>
      <c r="AB37" s="310" t="e">
        <f>+'Zał.1_WPF_bazowy'!#REF!</f>
        <v>#REF!</v>
      </c>
      <c r="AC37" s="310" t="e">
        <f>+'Zał.1_WPF_bazowy'!#REF!</f>
        <v>#REF!</v>
      </c>
      <c r="AD37" s="310" t="e">
        <f>+'Zał.1_WPF_bazowy'!#REF!</f>
        <v>#REF!</v>
      </c>
      <c r="AE37" s="310" t="e">
        <f>+'Zał.1_WPF_bazowy'!#REF!</f>
        <v>#REF!</v>
      </c>
      <c r="AF37" s="310" t="e">
        <f>+'Zał.1_WPF_bazowy'!#REF!</f>
        <v>#REF!</v>
      </c>
      <c r="AG37" s="310" t="e">
        <f>+'Zał.1_WPF_bazowy'!#REF!</f>
        <v>#REF!</v>
      </c>
      <c r="AH37" s="310" t="e">
        <f>+'Zał.1_WPF_bazowy'!#REF!</f>
        <v>#REF!</v>
      </c>
      <c r="AI37" s="310" t="e">
        <f>+'Zał.1_WPF_bazowy'!#REF!</f>
        <v>#REF!</v>
      </c>
      <c r="AJ37" s="310" t="e">
        <f>+'Zał.1_WPF_bazowy'!#REF!</f>
        <v>#REF!</v>
      </c>
      <c r="AK37" s="310" t="e">
        <f>+'Zał.1_WPF_bazowy'!#REF!</f>
        <v>#REF!</v>
      </c>
      <c r="AL37" s="311" t="e">
        <f>+'Zał.1_WPF_bazowy'!#REF!</f>
        <v>#REF!</v>
      </c>
    </row>
    <row r="38" spans="1:38" ht="14.25" outlineLevel="2">
      <c r="A38" s="374" t="s">
        <v>31</v>
      </c>
      <c r="B38" s="46" t="s">
        <v>82</v>
      </c>
      <c r="C38" s="257"/>
      <c r="D38" s="355" t="s">
        <v>228</v>
      </c>
      <c r="E38" s="246">
        <f>'Zał.1_WPF_bazowy'!E38</f>
        <v>0</v>
      </c>
      <c r="F38" s="247">
        <f>'Zał.1_WPF_bazowy'!F38</f>
        <v>0</v>
      </c>
      <c r="G38" s="247">
        <f>'Zał.1_WPF_bazowy'!G38</f>
        <v>0</v>
      </c>
      <c r="H38" s="308">
        <f>'Zał.1_WPF_bazowy'!H38</f>
        <v>0</v>
      </c>
      <c r="I38" s="309">
        <f>+'Zał.1_WPF_bazowy'!I38</f>
        <v>0</v>
      </c>
      <c r="J38" s="310">
        <f>+'Zał.1_WPF_bazowy'!J38</f>
        <v>0</v>
      </c>
      <c r="K38" s="310">
        <f>+'Zał.1_WPF_bazowy'!K38</f>
        <v>0</v>
      </c>
      <c r="L38" s="310">
        <f>+'Zał.1_WPF_bazowy'!L38</f>
        <v>0</v>
      </c>
      <c r="M38" s="310">
        <f>+'Zał.1_WPF_bazowy'!M38</f>
        <v>0</v>
      </c>
      <c r="N38" s="310">
        <f>+'Zał.1_WPF_bazowy'!N38</f>
        <v>0</v>
      </c>
      <c r="O38" s="310">
        <f>+'Zał.1_WPF_bazowy'!O38</f>
        <v>0</v>
      </c>
      <c r="P38" s="310">
        <f>+'Zał.1_WPF_bazowy'!P38</f>
        <v>0</v>
      </c>
      <c r="Q38" s="310">
        <f>+'Zał.1_WPF_bazowy'!Q38</f>
        <v>0</v>
      </c>
      <c r="R38" s="310">
        <f>+'Zał.1_WPF_bazowy'!R38</f>
        <v>0</v>
      </c>
      <c r="S38" s="310">
        <f>+'Zał.1_WPF_bazowy'!S38</f>
        <v>0</v>
      </c>
      <c r="T38" s="310">
        <f>+'Zał.1_WPF_bazowy'!T38</f>
        <v>0</v>
      </c>
      <c r="U38" s="310" t="e">
        <f>+'Zał.1_WPF_bazowy'!#REF!</f>
        <v>#REF!</v>
      </c>
      <c r="V38" s="310" t="e">
        <f>+'Zał.1_WPF_bazowy'!#REF!</f>
        <v>#REF!</v>
      </c>
      <c r="W38" s="310" t="e">
        <f>+'Zał.1_WPF_bazowy'!#REF!</f>
        <v>#REF!</v>
      </c>
      <c r="X38" s="310" t="e">
        <f>+'Zał.1_WPF_bazowy'!#REF!</f>
        <v>#REF!</v>
      </c>
      <c r="Y38" s="310" t="e">
        <f>+'Zał.1_WPF_bazowy'!#REF!</f>
        <v>#REF!</v>
      </c>
      <c r="Z38" s="310" t="e">
        <f>+'Zał.1_WPF_bazowy'!#REF!</f>
        <v>#REF!</v>
      </c>
      <c r="AA38" s="310" t="e">
        <f>+'Zał.1_WPF_bazowy'!#REF!</f>
        <v>#REF!</v>
      </c>
      <c r="AB38" s="310" t="e">
        <f>+'Zał.1_WPF_bazowy'!#REF!</f>
        <v>#REF!</v>
      </c>
      <c r="AC38" s="310" t="e">
        <f>+'Zał.1_WPF_bazowy'!#REF!</f>
        <v>#REF!</v>
      </c>
      <c r="AD38" s="310" t="e">
        <f>+'Zał.1_WPF_bazowy'!#REF!</f>
        <v>#REF!</v>
      </c>
      <c r="AE38" s="310" t="e">
        <f>+'Zał.1_WPF_bazowy'!#REF!</f>
        <v>#REF!</v>
      </c>
      <c r="AF38" s="310" t="e">
        <f>+'Zał.1_WPF_bazowy'!#REF!</f>
        <v>#REF!</v>
      </c>
      <c r="AG38" s="310" t="e">
        <f>+'Zał.1_WPF_bazowy'!#REF!</f>
        <v>#REF!</v>
      </c>
      <c r="AH38" s="310" t="e">
        <f>+'Zał.1_WPF_bazowy'!#REF!</f>
        <v>#REF!</v>
      </c>
      <c r="AI38" s="310" t="e">
        <f>+'Zał.1_WPF_bazowy'!#REF!</f>
        <v>#REF!</v>
      </c>
      <c r="AJ38" s="310" t="e">
        <f>+'Zał.1_WPF_bazowy'!#REF!</f>
        <v>#REF!</v>
      </c>
      <c r="AK38" s="310" t="e">
        <f>+'Zał.1_WPF_bazowy'!#REF!</f>
        <v>#REF!</v>
      </c>
      <c r="AL38" s="311" t="e">
        <f>+'Zał.1_WPF_bazowy'!#REF!</f>
        <v>#REF!</v>
      </c>
    </row>
    <row r="39" spans="1:38" s="142" customFormat="1" ht="15.75" outlineLevel="1" thickBot="1">
      <c r="A39" s="374" t="s">
        <v>31</v>
      </c>
      <c r="B39" s="45">
        <v>5</v>
      </c>
      <c r="C39" s="256" t="s">
        <v>421</v>
      </c>
      <c r="D39" s="352" t="s">
        <v>83</v>
      </c>
      <c r="E39" s="244">
        <f>'Zał.1_WPF_bazowy'!E39</f>
        <v>388987.72</v>
      </c>
      <c r="F39" s="245">
        <f>'Zał.1_WPF_bazowy'!F39</f>
        <v>605088.88</v>
      </c>
      <c r="G39" s="245">
        <f>'Zał.1_WPF_bazowy'!G39</f>
        <v>4959471</v>
      </c>
      <c r="H39" s="115">
        <f>+H40+H43</f>
        <v>4877476.49</v>
      </c>
      <c r="I39" s="113">
        <f>+I40+I43</f>
        <v>835135</v>
      </c>
      <c r="J39" s="114">
        <f aca="true" t="shared" si="4" ref="J39:AL39">+J40+J43</f>
        <v>835135</v>
      </c>
      <c r="K39" s="114">
        <f t="shared" si="4"/>
        <v>875135</v>
      </c>
      <c r="L39" s="114">
        <f t="shared" si="4"/>
        <v>915135</v>
      </c>
      <c r="M39" s="114">
        <f t="shared" si="4"/>
        <v>915135</v>
      </c>
      <c r="N39" s="114">
        <f t="shared" si="4"/>
        <v>865515</v>
      </c>
      <c r="O39" s="114">
        <f t="shared" si="4"/>
        <v>775551</v>
      </c>
      <c r="P39" s="114">
        <f t="shared" si="4"/>
        <v>581551</v>
      </c>
      <c r="Q39" s="114">
        <f t="shared" si="4"/>
        <v>716851</v>
      </c>
      <c r="R39" s="114">
        <f t="shared" si="4"/>
        <v>716851</v>
      </c>
      <c r="S39" s="114">
        <f t="shared" si="4"/>
        <v>669451</v>
      </c>
      <c r="T39" s="114">
        <f t="shared" si="4"/>
        <v>454350</v>
      </c>
      <c r="U39" s="114" t="e">
        <f t="shared" si="4"/>
        <v>#REF!</v>
      </c>
      <c r="V39" s="114" t="e">
        <f t="shared" si="4"/>
        <v>#REF!</v>
      </c>
      <c r="W39" s="114" t="e">
        <f t="shared" si="4"/>
        <v>#REF!</v>
      </c>
      <c r="X39" s="114" t="e">
        <f t="shared" si="4"/>
        <v>#REF!</v>
      </c>
      <c r="Y39" s="114" t="e">
        <f t="shared" si="4"/>
        <v>#REF!</v>
      </c>
      <c r="Z39" s="114" t="e">
        <f t="shared" si="4"/>
        <v>#REF!</v>
      </c>
      <c r="AA39" s="114" t="e">
        <f t="shared" si="4"/>
        <v>#REF!</v>
      </c>
      <c r="AB39" s="114" t="e">
        <f t="shared" si="4"/>
        <v>#REF!</v>
      </c>
      <c r="AC39" s="114" t="e">
        <f t="shared" si="4"/>
        <v>#REF!</v>
      </c>
      <c r="AD39" s="114" t="e">
        <f t="shared" si="4"/>
        <v>#REF!</v>
      </c>
      <c r="AE39" s="114" t="e">
        <f t="shared" si="4"/>
        <v>#REF!</v>
      </c>
      <c r="AF39" s="114" t="e">
        <f t="shared" si="4"/>
        <v>#REF!</v>
      </c>
      <c r="AG39" s="114" t="e">
        <f t="shared" si="4"/>
        <v>#REF!</v>
      </c>
      <c r="AH39" s="114" t="e">
        <f t="shared" si="4"/>
        <v>#REF!</v>
      </c>
      <c r="AI39" s="114" t="e">
        <f t="shared" si="4"/>
        <v>#REF!</v>
      </c>
      <c r="AJ39" s="114" t="e">
        <f t="shared" si="4"/>
        <v>#REF!</v>
      </c>
      <c r="AK39" s="114" t="e">
        <f t="shared" si="4"/>
        <v>#REF!</v>
      </c>
      <c r="AL39" s="115" t="e">
        <f t="shared" si="4"/>
        <v>#REF!</v>
      </c>
    </row>
    <row r="40" spans="1:253" s="145" customFormat="1" ht="14.25" outlineLevel="2">
      <c r="A40" s="374" t="s">
        <v>31</v>
      </c>
      <c r="B40" s="46" t="s">
        <v>172</v>
      </c>
      <c r="C40" s="257"/>
      <c r="D40" s="354" t="s">
        <v>232</v>
      </c>
      <c r="E40" s="246">
        <f>'Zał.1_WPF_bazowy'!E40</f>
        <v>388987.72</v>
      </c>
      <c r="F40" s="247">
        <f>'Zał.1_WPF_bazowy'!F40</f>
        <v>605088.88</v>
      </c>
      <c r="G40" s="247">
        <f>'Zał.1_WPF_bazowy'!G40</f>
        <v>4696481</v>
      </c>
      <c r="H40" s="308">
        <f>'Zał.1_WPF_bazowy'!H40</f>
        <v>4696480.49</v>
      </c>
      <c r="I40" s="309">
        <f>+'Zał.1_WPF_bazowy'!I40</f>
        <v>835135</v>
      </c>
      <c r="J40" s="310">
        <f>+'Zał.1_WPF_bazowy'!J40</f>
        <v>835135</v>
      </c>
      <c r="K40" s="310">
        <f>+'Zał.1_WPF_bazowy'!K40</f>
        <v>875135</v>
      </c>
      <c r="L40" s="310">
        <f>+'Zał.1_WPF_bazowy'!L40</f>
        <v>915135</v>
      </c>
      <c r="M40" s="310">
        <f>+'Zał.1_WPF_bazowy'!M40</f>
        <v>915135</v>
      </c>
      <c r="N40" s="310">
        <f>+'Zał.1_WPF_bazowy'!N40</f>
        <v>865515</v>
      </c>
      <c r="O40" s="310">
        <f>+'Zał.1_WPF_bazowy'!O40</f>
        <v>775551</v>
      </c>
      <c r="P40" s="310">
        <f>+'Zał.1_WPF_bazowy'!P40</f>
        <v>581551</v>
      </c>
      <c r="Q40" s="310">
        <f>+'Zał.1_WPF_bazowy'!Q40</f>
        <v>716851</v>
      </c>
      <c r="R40" s="310">
        <f>+'Zał.1_WPF_bazowy'!R40</f>
        <v>716851</v>
      </c>
      <c r="S40" s="310">
        <f>+'Zał.1_WPF_bazowy'!S40</f>
        <v>669451</v>
      </c>
      <c r="T40" s="310">
        <f>+'Zał.1_WPF_bazowy'!T40</f>
        <v>454350</v>
      </c>
      <c r="U40" s="310" t="e">
        <f>+'Zał.1_WPF_bazowy'!#REF!</f>
        <v>#REF!</v>
      </c>
      <c r="V40" s="310" t="e">
        <f>+'Zał.1_WPF_bazowy'!#REF!</f>
        <v>#REF!</v>
      </c>
      <c r="W40" s="310" t="e">
        <f>+'Zał.1_WPF_bazowy'!#REF!</f>
        <v>#REF!</v>
      </c>
      <c r="X40" s="310" t="e">
        <f>+'Zał.1_WPF_bazowy'!#REF!</f>
        <v>#REF!</v>
      </c>
      <c r="Y40" s="310" t="e">
        <f>+'Zał.1_WPF_bazowy'!#REF!</f>
        <v>#REF!</v>
      </c>
      <c r="Z40" s="310" t="e">
        <f>+'Zał.1_WPF_bazowy'!#REF!</f>
        <v>#REF!</v>
      </c>
      <c r="AA40" s="310" t="e">
        <f>+'Zał.1_WPF_bazowy'!#REF!</f>
        <v>#REF!</v>
      </c>
      <c r="AB40" s="310" t="e">
        <f>+'Zał.1_WPF_bazowy'!#REF!</f>
        <v>#REF!</v>
      </c>
      <c r="AC40" s="310" t="e">
        <f>+'Zał.1_WPF_bazowy'!#REF!</f>
        <v>#REF!</v>
      </c>
      <c r="AD40" s="310" t="e">
        <f>+'Zał.1_WPF_bazowy'!#REF!</f>
        <v>#REF!</v>
      </c>
      <c r="AE40" s="310" t="e">
        <f>+'Zał.1_WPF_bazowy'!#REF!</f>
        <v>#REF!</v>
      </c>
      <c r="AF40" s="310" t="e">
        <f>+'Zał.1_WPF_bazowy'!#REF!</f>
        <v>#REF!</v>
      </c>
      <c r="AG40" s="310" t="e">
        <f>+'Zał.1_WPF_bazowy'!#REF!</f>
        <v>#REF!</v>
      </c>
      <c r="AH40" s="310" t="e">
        <f>+'Zał.1_WPF_bazowy'!#REF!</f>
        <v>#REF!</v>
      </c>
      <c r="AI40" s="310" t="e">
        <f>+'Zał.1_WPF_bazowy'!#REF!</f>
        <v>#REF!</v>
      </c>
      <c r="AJ40" s="310" t="e">
        <f>+'Zał.1_WPF_bazowy'!#REF!</f>
        <v>#REF!</v>
      </c>
      <c r="AK40" s="310" t="e">
        <f>+'Zał.1_WPF_bazowy'!#REF!</f>
        <v>#REF!</v>
      </c>
      <c r="AL40" s="311" t="e">
        <f>+'Zał.1_WPF_bazowy'!#REF!</f>
        <v>#REF!</v>
      </c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120"/>
      <c r="EF40" s="120"/>
      <c r="EG40" s="120"/>
      <c r="EH40" s="120"/>
      <c r="EI40" s="120"/>
      <c r="EJ40" s="120"/>
      <c r="EK40" s="120"/>
      <c r="EL40" s="120"/>
      <c r="EM40" s="120"/>
      <c r="EN40" s="120"/>
      <c r="EO40" s="120"/>
      <c r="EP40" s="120"/>
      <c r="EQ40" s="120"/>
      <c r="ER40" s="120"/>
      <c r="ES40" s="120"/>
      <c r="ET40" s="120"/>
      <c r="EU40" s="120"/>
      <c r="EV40" s="120"/>
      <c r="EW40" s="120"/>
      <c r="EX40" s="120"/>
      <c r="EY40" s="120"/>
      <c r="EZ40" s="120"/>
      <c r="FA40" s="120"/>
      <c r="FB40" s="120"/>
      <c r="FC40" s="120"/>
      <c r="FD40" s="120"/>
      <c r="FE40" s="120"/>
      <c r="FF40" s="120"/>
      <c r="FG40" s="120"/>
      <c r="FH40" s="120"/>
      <c r="FI40" s="120"/>
      <c r="FJ40" s="120"/>
      <c r="FK40" s="120"/>
      <c r="FL40" s="120"/>
      <c r="FM40" s="120"/>
      <c r="FN40" s="120"/>
      <c r="FO40" s="120"/>
      <c r="FP40" s="120"/>
      <c r="FQ40" s="120"/>
      <c r="FR40" s="120"/>
      <c r="FS40" s="120"/>
      <c r="FT40" s="120"/>
      <c r="FU40" s="120"/>
      <c r="FV40" s="120"/>
      <c r="FW40" s="120"/>
      <c r="FX40" s="120"/>
      <c r="FY40" s="120"/>
      <c r="FZ40" s="120"/>
      <c r="GA40" s="120"/>
      <c r="GB40" s="120"/>
      <c r="GC40" s="120"/>
      <c r="GD40" s="120"/>
      <c r="GE40" s="120"/>
      <c r="GF40" s="120"/>
      <c r="GG40" s="120"/>
      <c r="GH40" s="120"/>
      <c r="GI40" s="120"/>
      <c r="GJ40" s="120"/>
      <c r="GK40" s="120"/>
      <c r="GL40" s="120"/>
      <c r="GM40" s="120"/>
      <c r="GN40" s="120"/>
      <c r="GO40" s="120"/>
      <c r="GP40" s="120"/>
      <c r="GQ40" s="120"/>
      <c r="GR40" s="120"/>
      <c r="GS40" s="120"/>
      <c r="GT40" s="120"/>
      <c r="GU40" s="120"/>
      <c r="GV40" s="120"/>
      <c r="GW40" s="120"/>
      <c r="GX40" s="120"/>
      <c r="GY40" s="120"/>
      <c r="GZ40" s="120"/>
      <c r="HA40" s="120"/>
      <c r="HB40" s="120"/>
      <c r="HC40" s="120"/>
      <c r="HD40" s="120"/>
      <c r="HE40" s="120"/>
      <c r="HF40" s="120"/>
      <c r="HG40" s="120"/>
      <c r="HH40" s="120"/>
      <c r="HI40" s="120"/>
      <c r="HJ40" s="120"/>
      <c r="HK40" s="120"/>
      <c r="HL40" s="120"/>
      <c r="HM40" s="120"/>
      <c r="HN40" s="120"/>
      <c r="HO40" s="120"/>
      <c r="HP40" s="120"/>
      <c r="HQ40" s="120"/>
      <c r="HR40" s="120"/>
      <c r="HS40" s="120"/>
      <c r="HT40" s="120"/>
      <c r="HU40" s="120"/>
      <c r="HV40" s="120"/>
      <c r="HW40" s="120"/>
      <c r="HX40" s="120"/>
      <c r="HY40" s="120"/>
      <c r="HZ40" s="120"/>
      <c r="IA40" s="120"/>
      <c r="IB40" s="120"/>
      <c r="IC40" s="120"/>
      <c r="ID40" s="120"/>
      <c r="IE40" s="120"/>
      <c r="IF40" s="120"/>
      <c r="IG40" s="120"/>
      <c r="IH40" s="120"/>
      <c r="II40" s="120"/>
      <c r="IJ40" s="120"/>
      <c r="IK40" s="120"/>
      <c r="IL40" s="120"/>
      <c r="IM40" s="120"/>
      <c r="IN40" s="120"/>
      <c r="IO40" s="120"/>
      <c r="IP40" s="120"/>
      <c r="IQ40" s="120"/>
      <c r="IR40" s="120"/>
      <c r="IS40" s="120"/>
    </row>
    <row r="41" spans="1:253" s="132" customFormat="1" ht="60" outlineLevel="2">
      <c r="A41" s="374" t="s">
        <v>31</v>
      </c>
      <c r="B41" s="46" t="s">
        <v>85</v>
      </c>
      <c r="C41" s="257"/>
      <c r="D41" s="355" t="s">
        <v>453</v>
      </c>
      <c r="E41" s="246">
        <f>'Zał.1_WPF_bazowy'!E41</f>
        <v>0</v>
      </c>
      <c r="F41" s="247">
        <f>'Zał.1_WPF_bazowy'!F41</f>
        <v>0</v>
      </c>
      <c r="G41" s="247">
        <f>'Zał.1_WPF_bazowy'!G41</f>
        <v>0</v>
      </c>
      <c r="H41" s="308">
        <f>'Zał.1_WPF_bazowy'!H41</f>
        <v>3843709.41</v>
      </c>
      <c r="I41" s="309">
        <f>+'Zał.1_WPF_bazowy'!I41</f>
        <v>0</v>
      </c>
      <c r="J41" s="310">
        <f>+'Zał.1_WPF_bazowy'!J41</f>
        <v>0</v>
      </c>
      <c r="K41" s="310">
        <f>+'Zał.1_WPF_bazowy'!K41</f>
        <v>0</v>
      </c>
      <c r="L41" s="310">
        <f>+'Zał.1_WPF_bazowy'!L41</f>
        <v>0</v>
      </c>
      <c r="M41" s="310">
        <f>+'Zał.1_WPF_bazowy'!M41</f>
        <v>0</v>
      </c>
      <c r="N41" s="310">
        <f>+'Zał.1_WPF_bazowy'!N41</f>
        <v>0</v>
      </c>
      <c r="O41" s="310">
        <f>+'Zał.1_WPF_bazowy'!O41</f>
        <v>0</v>
      </c>
      <c r="P41" s="310">
        <f>+'Zał.1_WPF_bazowy'!P41</f>
        <v>0</v>
      </c>
      <c r="Q41" s="310">
        <f>+'Zał.1_WPF_bazowy'!Q41</f>
        <v>0</v>
      </c>
      <c r="R41" s="310">
        <f>+'Zał.1_WPF_bazowy'!R41</f>
        <v>0</v>
      </c>
      <c r="S41" s="310">
        <f>+'Zał.1_WPF_bazowy'!S41</f>
        <v>0</v>
      </c>
      <c r="T41" s="310">
        <f>+'Zał.1_WPF_bazowy'!T41</f>
        <v>0</v>
      </c>
      <c r="U41" s="310" t="e">
        <f>+'Zał.1_WPF_bazowy'!#REF!</f>
        <v>#REF!</v>
      </c>
      <c r="V41" s="310" t="e">
        <f>+'Zał.1_WPF_bazowy'!#REF!</f>
        <v>#REF!</v>
      </c>
      <c r="W41" s="310" t="e">
        <f>+'Zał.1_WPF_bazowy'!#REF!</f>
        <v>#REF!</v>
      </c>
      <c r="X41" s="310" t="e">
        <f>+'Zał.1_WPF_bazowy'!#REF!</f>
        <v>#REF!</v>
      </c>
      <c r="Y41" s="310" t="e">
        <f>+'Zał.1_WPF_bazowy'!#REF!</f>
        <v>#REF!</v>
      </c>
      <c r="Z41" s="310" t="e">
        <f>+'Zał.1_WPF_bazowy'!#REF!</f>
        <v>#REF!</v>
      </c>
      <c r="AA41" s="310" t="e">
        <f>+'Zał.1_WPF_bazowy'!#REF!</f>
        <v>#REF!</v>
      </c>
      <c r="AB41" s="310" t="e">
        <f>+'Zał.1_WPF_bazowy'!#REF!</f>
        <v>#REF!</v>
      </c>
      <c r="AC41" s="310" t="e">
        <f>+'Zał.1_WPF_bazowy'!#REF!</f>
        <v>#REF!</v>
      </c>
      <c r="AD41" s="310" t="e">
        <f>+'Zał.1_WPF_bazowy'!#REF!</f>
        <v>#REF!</v>
      </c>
      <c r="AE41" s="310" t="e">
        <f>+'Zał.1_WPF_bazowy'!#REF!</f>
        <v>#REF!</v>
      </c>
      <c r="AF41" s="310" t="e">
        <f>+'Zał.1_WPF_bazowy'!#REF!</f>
        <v>#REF!</v>
      </c>
      <c r="AG41" s="310" t="e">
        <f>+'Zał.1_WPF_bazowy'!#REF!</f>
        <v>#REF!</v>
      </c>
      <c r="AH41" s="310" t="e">
        <f>+'Zał.1_WPF_bazowy'!#REF!</f>
        <v>#REF!</v>
      </c>
      <c r="AI41" s="310" t="e">
        <f>+'Zał.1_WPF_bazowy'!#REF!</f>
        <v>#REF!</v>
      </c>
      <c r="AJ41" s="310" t="e">
        <f>+'Zał.1_WPF_bazowy'!#REF!</f>
        <v>#REF!</v>
      </c>
      <c r="AK41" s="310" t="e">
        <f>+'Zał.1_WPF_bazowy'!#REF!</f>
        <v>#REF!</v>
      </c>
      <c r="AL41" s="311" t="e">
        <f>+'Zał.1_WPF_bazowy'!#REF!</f>
        <v>#REF!</v>
      </c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  <c r="IO41" s="120"/>
      <c r="IP41" s="120"/>
      <c r="IQ41" s="120"/>
      <c r="IR41" s="120"/>
      <c r="IS41" s="120"/>
    </row>
    <row r="42" spans="1:38" ht="24" outlineLevel="2">
      <c r="A42" s="374" t="s">
        <v>31</v>
      </c>
      <c r="B42" s="46" t="s">
        <v>87</v>
      </c>
      <c r="C42" s="257"/>
      <c r="D42" s="356" t="s">
        <v>233</v>
      </c>
      <c r="E42" s="246">
        <f>'Zał.1_WPF_bazowy'!E42</f>
        <v>0</v>
      </c>
      <c r="F42" s="247">
        <f>'Zał.1_WPF_bazowy'!F42</f>
        <v>0</v>
      </c>
      <c r="G42" s="247">
        <f>'Zał.1_WPF_bazowy'!G42</f>
        <v>3843710</v>
      </c>
      <c r="H42" s="308">
        <f>'Zał.1_WPF_bazowy'!H42</f>
        <v>0</v>
      </c>
      <c r="I42" s="309">
        <f>+'Zał.1_WPF_bazowy'!I42</f>
        <v>0</v>
      </c>
      <c r="J42" s="310">
        <f>+'Zał.1_WPF_bazowy'!J42</f>
        <v>0</v>
      </c>
      <c r="K42" s="310">
        <f>+'Zał.1_WPF_bazowy'!K42</f>
        <v>0</v>
      </c>
      <c r="L42" s="310">
        <f>+'Zał.1_WPF_bazowy'!L42</f>
        <v>0</v>
      </c>
      <c r="M42" s="310">
        <f>+'Zał.1_WPF_bazowy'!M42</f>
        <v>0</v>
      </c>
      <c r="N42" s="310">
        <f>+'Zał.1_WPF_bazowy'!N42</f>
        <v>0</v>
      </c>
      <c r="O42" s="310">
        <f>+'Zał.1_WPF_bazowy'!O42</f>
        <v>0</v>
      </c>
      <c r="P42" s="310">
        <f>+'Zał.1_WPF_bazowy'!P42</f>
        <v>0</v>
      </c>
      <c r="Q42" s="310">
        <f>+'Zał.1_WPF_bazowy'!Q42</f>
        <v>0</v>
      </c>
      <c r="R42" s="310">
        <f>+'Zał.1_WPF_bazowy'!R42</f>
        <v>0</v>
      </c>
      <c r="S42" s="310">
        <f>+'Zał.1_WPF_bazowy'!S42</f>
        <v>0</v>
      </c>
      <c r="T42" s="310">
        <f>+'Zał.1_WPF_bazowy'!T42</f>
        <v>0</v>
      </c>
      <c r="U42" s="310" t="e">
        <f>+'Zał.1_WPF_bazowy'!#REF!</f>
        <v>#REF!</v>
      </c>
      <c r="V42" s="310" t="e">
        <f>+'Zał.1_WPF_bazowy'!#REF!</f>
        <v>#REF!</v>
      </c>
      <c r="W42" s="310" t="e">
        <f>+'Zał.1_WPF_bazowy'!#REF!</f>
        <v>#REF!</v>
      </c>
      <c r="X42" s="310" t="e">
        <f>+'Zał.1_WPF_bazowy'!#REF!</f>
        <v>#REF!</v>
      </c>
      <c r="Y42" s="310" t="e">
        <f>+'Zał.1_WPF_bazowy'!#REF!</f>
        <v>#REF!</v>
      </c>
      <c r="Z42" s="310" t="e">
        <f>+'Zał.1_WPF_bazowy'!#REF!</f>
        <v>#REF!</v>
      </c>
      <c r="AA42" s="310" t="e">
        <f>+'Zał.1_WPF_bazowy'!#REF!</f>
        <v>#REF!</v>
      </c>
      <c r="AB42" s="310" t="e">
        <f>+'Zał.1_WPF_bazowy'!#REF!</f>
        <v>#REF!</v>
      </c>
      <c r="AC42" s="310" t="e">
        <f>+'Zał.1_WPF_bazowy'!#REF!</f>
        <v>#REF!</v>
      </c>
      <c r="AD42" s="310" t="e">
        <f>+'Zał.1_WPF_bazowy'!#REF!</f>
        <v>#REF!</v>
      </c>
      <c r="AE42" s="310" t="e">
        <f>+'Zał.1_WPF_bazowy'!#REF!</f>
        <v>#REF!</v>
      </c>
      <c r="AF42" s="310" t="e">
        <f>+'Zał.1_WPF_bazowy'!#REF!</f>
        <v>#REF!</v>
      </c>
      <c r="AG42" s="310" t="e">
        <f>+'Zał.1_WPF_bazowy'!#REF!</f>
        <v>#REF!</v>
      </c>
      <c r="AH42" s="310" t="e">
        <f>+'Zał.1_WPF_bazowy'!#REF!</f>
        <v>#REF!</v>
      </c>
      <c r="AI42" s="310" t="e">
        <f>+'Zał.1_WPF_bazowy'!#REF!</f>
        <v>#REF!</v>
      </c>
      <c r="AJ42" s="310" t="e">
        <f>+'Zał.1_WPF_bazowy'!#REF!</f>
        <v>#REF!</v>
      </c>
      <c r="AK42" s="310" t="e">
        <f>+'Zał.1_WPF_bazowy'!#REF!</f>
        <v>#REF!</v>
      </c>
      <c r="AL42" s="311" t="e">
        <f>+'Zał.1_WPF_bazowy'!#REF!</f>
        <v>#REF!</v>
      </c>
    </row>
    <row r="43" spans="1:38" ht="14.25" outlineLevel="2">
      <c r="A43" s="374"/>
      <c r="B43" s="46" t="s">
        <v>173</v>
      </c>
      <c r="C43" s="257"/>
      <c r="D43" s="354" t="s">
        <v>234</v>
      </c>
      <c r="E43" s="246">
        <f>'Zał.1_WPF_bazowy'!E43</f>
        <v>0</v>
      </c>
      <c r="F43" s="247">
        <f>'Zał.1_WPF_bazowy'!F43</f>
        <v>0</v>
      </c>
      <c r="G43" s="247">
        <f>'Zał.1_WPF_bazowy'!G43</f>
        <v>262990</v>
      </c>
      <c r="H43" s="308">
        <f>'Zał.1_WPF_bazowy'!H43</f>
        <v>180996</v>
      </c>
      <c r="I43" s="309">
        <f>+'Zał.1_WPF_bazowy'!I43</f>
        <v>0</v>
      </c>
      <c r="J43" s="310">
        <f>+'Zał.1_WPF_bazowy'!J43</f>
        <v>0</v>
      </c>
      <c r="K43" s="310">
        <f>+'Zał.1_WPF_bazowy'!K43</f>
        <v>0</v>
      </c>
      <c r="L43" s="310">
        <f>+'Zał.1_WPF_bazowy'!L43</f>
        <v>0</v>
      </c>
      <c r="M43" s="310">
        <f>+'Zał.1_WPF_bazowy'!M43</f>
        <v>0</v>
      </c>
      <c r="N43" s="310">
        <f>+'Zał.1_WPF_bazowy'!N43</f>
        <v>0</v>
      </c>
      <c r="O43" s="310">
        <f>+'Zał.1_WPF_bazowy'!O43</f>
        <v>0</v>
      </c>
      <c r="P43" s="310">
        <f>+'Zał.1_WPF_bazowy'!P43</f>
        <v>0</v>
      </c>
      <c r="Q43" s="310">
        <f>+'Zał.1_WPF_bazowy'!Q43</f>
        <v>0</v>
      </c>
      <c r="R43" s="310">
        <f>+'Zał.1_WPF_bazowy'!R43</f>
        <v>0</v>
      </c>
      <c r="S43" s="310">
        <f>+'Zał.1_WPF_bazowy'!S43</f>
        <v>0</v>
      </c>
      <c r="T43" s="310">
        <f>+'Zał.1_WPF_bazowy'!T43</f>
        <v>0</v>
      </c>
      <c r="U43" s="310" t="e">
        <f>+'Zał.1_WPF_bazowy'!#REF!</f>
        <v>#REF!</v>
      </c>
      <c r="V43" s="310" t="e">
        <f>+'Zał.1_WPF_bazowy'!#REF!</f>
        <v>#REF!</v>
      </c>
      <c r="W43" s="310" t="e">
        <f>+'Zał.1_WPF_bazowy'!#REF!</f>
        <v>#REF!</v>
      </c>
      <c r="X43" s="310" t="e">
        <f>+'Zał.1_WPF_bazowy'!#REF!</f>
        <v>#REF!</v>
      </c>
      <c r="Y43" s="310" t="e">
        <f>+'Zał.1_WPF_bazowy'!#REF!</f>
        <v>#REF!</v>
      </c>
      <c r="Z43" s="310" t="e">
        <f>+'Zał.1_WPF_bazowy'!#REF!</f>
        <v>#REF!</v>
      </c>
      <c r="AA43" s="310" t="e">
        <f>+'Zał.1_WPF_bazowy'!#REF!</f>
        <v>#REF!</v>
      </c>
      <c r="AB43" s="310" t="e">
        <f>+'Zał.1_WPF_bazowy'!#REF!</f>
        <v>#REF!</v>
      </c>
      <c r="AC43" s="310" t="e">
        <f>+'Zał.1_WPF_bazowy'!#REF!</f>
        <v>#REF!</v>
      </c>
      <c r="AD43" s="310" t="e">
        <f>+'Zał.1_WPF_bazowy'!#REF!</f>
        <v>#REF!</v>
      </c>
      <c r="AE43" s="310" t="e">
        <f>+'Zał.1_WPF_bazowy'!#REF!</f>
        <v>#REF!</v>
      </c>
      <c r="AF43" s="310" t="e">
        <f>+'Zał.1_WPF_bazowy'!#REF!</f>
        <v>#REF!</v>
      </c>
      <c r="AG43" s="310" t="e">
        <f>+'Zał.1_WPF_bazowy'!#REF!</f>
        <v>#REF!</v>
      </c>
      <c r="AH43" s="310" t="e">
        <f>+'Zał.1_WPF_bazowy'!#REF!</f>
        <v>#REF!</v>
      </c>
      <c r="AI43" s="310" t="e">
        <f>+'Zał.1_WPF_bazowy'!#REF!</f>
        <v>#REF!</v>
      </c>
      <c r="AJ43" s="310" t="e">
        <f>+'Zał.1_WPF_bazowy'!#REF!</f>
        <v>#REF!</v>
      </c>
      <c r="AK43" s="310" t="e">
        <f>+'Zał.1_WPF_bazowy'!#REF!</f>
        <v>#REF!</v>
      </c>
      <c r="AL43" s="311" t="e">
        <f>+'Zał.1_WPF_bazowy'!#REF!</f>
        <v>#REF!</v>
      </c>
    </row>
    <row r="44" spans="1:38" s="142" customFormat="1" ht="15" outlineLevel="1">
      <c r="A44" s="374" t="s">
        <v>31</v>
      </c>
      <c r="B44" s="45">
        <v>6</v>
      </c>
      <c r="C44" s="256"/>
      <c r="D44" s="352" t="s">
        <v>27</v>
      </c>
      <c r="E44" s="244">
        <f>'Zał.1_WPF_bazowy'!E44</f>
        <v>9974629.2</v>
      </c>
      <c r="F44" s="245">
        <f>'Zał.1_WPF_bazowy'!F44</f>
        <v>12551075.58</v>
      </c>
      <c r="G44" s="245">
        <f>'Zał.1_WPF_bazowy'!G44</f>
        <v>8117585</v>
      </c>
      <c r="H44" s="313">
        <f>'Zał.1_WPF_bazowy'!H44</f>
        <v>7854595.09</v>
      </c>
      <c r="I44" s="314">
        <f>+IF(I10&lt;&gt;0,H44+I35-I40+(I99-H99)+I104,0)</f>
        <v>7019460.09</v>
      </c>
      <c r="J44" s="315">
        <f aca="true" t="shared" si="5" ref="J44:AL44">+IF(J10&lt;&gt;0,I44+J35-J40+(J99-I99)+J104,0)</f>
        <v>6984425.09</v>
      </c>
      <c r="K44" s="315">
        <f t="shared" si="5"/>
        <v>6610390.09</v>
      </c>
      <c r="L44" s="315">
        <f t="shared" si="5"/>
        <v>5695255.09</v>
      </c>
      <c r="M44" s="315">
        <f t="shared" si="5"/>
        <v>4780120.09</v>
      </c>
      <c r="N44" s="315">
        <f t="shared" si="5"/>
        <v>3914605.09</v>
      </c>
      <c r="O44" s="315">
        <f t="shared" si="5"/>
        <v>3139054.09</v>
      </c>
      <c r="P44" s="315">
        <f t="shared" si="5"/>
        <v>2557503.09</v>
      </c>
      <c r="Q44" s="315">
        <f t="shared" si="5"/>
        <v>1840652.0899999999</v>
      </c>
      <c r="R44" s="315">
        <f t="shared" si="5"/>
        <v>1123801.0899999999</v>
      </c>
      <c r="S44" s="315">
        <f t="shared" si="5"/>
        <v>454350.08999999985</v>
      </c>
      <c r="T44" s="315">
        <f t="shared" si="5"/>
        <v>0.08999999985098839</v>
      </c>
      <c r="U44" s="315" t="e">
        <f t="shared" si="5"/>
        <v>#REF!</v>
      </c>
      <c r="V44" s="315" t="e">
        <f t="shared" si="5"/>
        <v>#REF!</v>
      </c>
      <c r="W44" s="315" t="e">
        <f t="shared" si="5"/>
        <v>#REF!</v>
      </c>
      <c r="X44" s="315" t="e">
        <f t="shared" si="5"/>
        <v>#REF!</v>
      </c>
      <c r="Y44" s="315" t="e">
        <f t="shared" si="5"/>
        <v>#REF!</v>
      </c>
      <c r="Z44" s="315" t="e">
        <f t="shared" si="5"/>
        <v>#REF!</v>
      </c>
      <c r="AA44" s="315" t="e">
        <f t="shared" si="5"/>
        <v>#REF!</v>
      </c>
      <c r="AB44" s="315" t="e">
        <f t="shared" si="5"/>
        <v>#REF!</v>
      </c>
      <c r="AC44" s="315" t="e">
        <f t="shared" si="5"/>
        <v>#REF!</v>
      </c>
      <c r="AD44" s="315" t="e">
        <f t="shared" si="5"/>
        <v>#REF!</v>
      </c>
      <c r="AE44" s="315" t="e">
        <f t="shared" si="5"/>
        <v>#REF!</v>
      </c>
      <c r="AF44" s="315" t="e">
        <f t="shared" si="5"/>
        <v>#REF!</v>
      </c>
      <c r="AG44" s="315" t="e">
        <f t="shared" si="5"/>
        <v>#REF!</v>
      </c>
      <c r="AH44" s="315" t="e">
        <f t="shared" si="5"/>
        <v>#REF!</v>
      </c>
      <c r="AI44" s="315" t="e">
        <f t="shared" si="5"/>
        <v>#REF!</v>
      </c>
      <c r="AJ44" s="315" t="e">
        <f t="shared" si="5"/>
        <v>#REF!</v>
      </c>
      <c r="AK44" s="315" t="e">
        <f t="shared" si="5"/>
        <v>#REF!</v>
      </c>
      <c r="AL44" s="316" t="e">
        <f t="shared" si="5"/>
        <v>#REF!</v>
      </c>
    </row>
    <row r="45" spans="1:38" ht="24" outlineLevel="2">
      <c r="A45" s="374"/>
      <c r="B45" s="46" t="s">
        <v>174</v>
      </c>
      <c r="C45" s="257"/>
      <c r="D45" s="354" t="s">
        <v>454</v>
      </c>
      <c r="E45" s="246">
        <f>'Zał.1_WPF_bazowy'!E45</f>
        <v>0</v>
      </c>
      <c r="F45" s="247">
        <f>'Zał.1_WPF_bazowy'!F45</f>
        <v>0</v>
      </c>
      <c r="G45" s="247">
        <f>'Zał.1_WPF_bazowy'!G45</f>
        <v>0</v>
      </c>
      <c r="H45" s="308">
        <f>'Zał.1_WPF_bazowy'!H45</f>
        <v>0</v>
      </c>
      <c r="I45" s="309">
        <f>+'Zał.1_WPF_bazowy'!I45</f>
        <v>0</v>
      </c>
      <c r="J45" s="310">
        <f>+'Zał.1_WPF_bazowy'!J45</f>
        <v>0</v>
      </c>
      <c r="K45" s="310">
        <f>+'Zał.1_WPF_bazowy'!K45</f>
        <v>0</v>
      </c>
      <c r="L45" s="310">
        <f>+'Zał.1_WPF_bazowy'!L45</f>
        <v>0</v>
      </c>
      <c r="M45" s="310">
        <f>+'Zał.1_WPF_bazowy'!M45</f>
        <v>0</v>
      </c>
      <c r="N45" s="310">
        <f>+'Zał.1_WPF_bazowy'!N45</f>
        <v>0</v>
      </c>
      <c r="O45" s="310">
        <f>+'Zał.1_WPF_bazowy'!O45</f>
        <v>0</v>
      </c>
      <c r="P45" s="310">
        <f>+'Zał.1_WPF_bazowy'!P45</f>
        <v>0</v>
      </c>
      <c r="Q45" s="310">
        <f>+'Zał.1_WPF_bazowy'!Q45</f>
        <v>0</v>
      </c>
      <c r="R45" s="310">
        <f>+'Zał.1_WPF_bazowy'!R45</f>
        <v>0</v>
      </c>
      <c r="S45" s="310">
        <f>+'Zał.1_WPF_bazowy'!S45</f>
        <v>0</v>
      </c>
      <c r="T45" s="310">
        <f>+'Zał.1_WPF_bazowy'!T45</f>
        <v>0</v>
      </c>
      <c r="U45" s="310" t="e">
        <f>+'Zał.1_WPF_bazowy'!#REF!</f>
        <v>#REF!</v>
      </c>
      <c r="V45" s="310" t="e">
        <f>+'Zał.1_WPF_bazowy'!#REF!</f>
        <v>#REF!</v>
      </c>
      <c r="W45" s="310" t="e">
        <f>+'Zał.1_WPF_bazowy'!#REF!</f>
        <v>#REF!</v>
      </c>
      <c r="X45" s="310" t="e">
        <f>+'Zał.1_WPF_bazowy'!#REF!</f>
        <v>#REF!</v>
      </c>
      <c r="Y45" s="310" t="e">
        <f>+'Zał.1_WPF_bazowy'!#REF!</f>
        <v>#REF!</v>
      </c>
      <c r="Z45" s="310" t="e">
        <f>+'Zał.1_WPF_bazowy'!#REF!</f>
        <v>#REF!</v>
      </c>
      <c r="AA45" s="310" t="e">
        <f>+'Zał.1_WPF_bazowy'!#REF!</f>
        <v>#REF!</v>
      </c>
      <c r="AB45" s="310" t="e">
        <f>+'Zał.1_WPF_bazowy'!#REF!</f>
        <v>#REF!</v>
      </c>
      <c r="AC45" s="310" t="e">
        <f>+'Zał.1_WPF_bazowy'!#REF!</f>
        <v>#REF!</v>
      </c>
      <c r="AD45" s="310" t="e">
        <f>+'Zał.1_WPF_bazowy'!#REF!</f>
        <v>#REF!</v>
      </c>
      <c r="AE45" s="310" t="e">
        <f>+'Zał.1_WPF_bazowy'!#REF!</f>
        <v>#REF!</v>
      </c>
      <c r="AF45" s="310" t="e">
        <f>+'Zał.1_WPF_bazowy'!#REF!</f>
        <v>#REF!</v>
      </c>
      <c r="AG45" s="310" t="e">
        <f>+'Zał.1_WPF_bazowy'!#REF!</f>
        <v>#REF!</v>
      </c>
      <c r="AH45" s="310" t="e">
        <f>+'Zał.1_WPF_bazowy'!#REF!</f>
        <v>#REF!</v>
      </c>
      <c r="AI45" s="310" t="e">
        <f>+'Zał.1_WPF_bazowy'!#REF!</f>
        <v>#REF!</v>
      </c>
      <c r="AJ45" s="310" t="e">
        <f>+'Zał.1_WPF_bazowy'!#REF!</f>
        <v>#REF!</v>
      </c>
      <c r="AK45" s="310" t="e">
        <f>+'Zał.1_WPF_bazowy'!#REF!</f>
        <v>#REF!</v>
      </c>
      <c r="AL45" s="311" t="e">
        <f>+'Zał.1_WPF_bazowy'!#REF!</f>
        <v>#REF!</v>
      </c>
    </row>
    <row r="46" spans="1:38" ht="14.25" outlineLevel="2">
      <c r="A46" s="374"/>
      <c r="B46" s="46" t="s">
        <v>91</v>
      </c>
      <c r="C46" s="257"/>
      <c r="D46" s="355" t="s">
        <v>433</v>
      </c>
      <c r="E46" s="246">
        <f>'Zał.1_WPF_bazowy'!E46</f>
        <v>2412650.19</v>
      </c>
      <c r="F46" s="247">
        <f>'Zał.1_WPF_bazowy'!F46</f>
        <v>3891345</v>
      </c>
      <c r="G46" s="247">
        <f>'Zał.1_WPF_bazowy'!G46</f>
        <v>0</v>
      </c>
      <c r="H46" s="308">
        <f>'Zał.1_WPF_bazowy'!H46</f>
        <v>0</v>
      </c>
      <c r="I46" s="309">
        <f>+'Zał.1_WPF_bazowy'!I46</f>
        <v>0</v>
      </c>
      <c r="J46" s="310">
        <f>+'Zał.1_WPF_bazowy'!J46</f>
        <v>0</v>
      </c>
      <c r="K46" s="310">
        <f>+'Zał.1_WPF_bazowy'!K46</f>
        <v>0</v>
      </c>
      <c r="L46" s="310">
        <f>+'Zał.1_WPF_bazowy'!L46</f>
        <v>0</v>
      </c>
      <c r="M46" s="310">
        <f>+'Zał.1_WPF_bazowy'!M46</f>
        <v>0</v>
      </c>
      <c r="N46" s="310">
        <f>+'Zał.1_WPF_bazowy'!N46</f>
        <v>0</v>
      </c>
      <c r="O46" s="310">
        <f>+'Zał.1_WPF_bazowy'!O46</f>
        <v>0</v>
      </c>
      <c r="P46" s="310">
        <f>+'Zał.1_WPF_bazowy'!P46</f>
        <v>0</v>
      </c>
      <c r="Q46" s="310">
        <f>+'Zał.1_WPF_bazowy'!Q46</f>
        <v>0</v>
      </c>
      <c r="R46" s="310">
        <f>+'Zał.1_WPF_bazowy'!R46</f>
        <v>0</v>
      </c>
      <c r="S46" s="310">
        <f>+'Zał.1_WPF_bazowy'!S46</f>
        <v>0</v>
      </c>
      <c r="T46" s="310">
        <f>+'Zał.1_WPF_bazowy'!T46</f>
        <v>0</v>
      </c>
      <c r="U46" s="310" t="e">
        <f>+'Zał.1_WPF_bazowy'!#REF!</f>
        <v>#REF!</v>
      </c>
      <c r="V46" s="310" t="e">
        <f>+'Zał.1_WPF_bazowy'!#REF!</f>
        <v>#REF!</v>
      </c>
      <c r="W46" s="310" t="e">
        <f>+'Zał.1_WPF_bazowy'!#REF!</f>
        <v>#REF!</v>
      </c>
      <c r="X46" s="310" t="e">
        <f>+'Zał.1_WPF_bazowy'!#REF!</f>
        <v>#REF!</v>
      </c>
      <c r="Y46" s="310" t="e">
        <f>+'Zał.1_WPF_bazowy'!#REF!</f>
        <v>#REF!</v>
      </c>
      <c r="Z46" s="310" t="e">
        <f>+'Zał.1_WPF_bazowy'!#REF!</f>
        <v>#REF!</v>
      </c>
      <c r="AA46" s="310" t="e">
        <f>+'Zał.1_WPF_bazowy'!#REF!</f>
        <v>#REF!</v>
      </c>
      <c r="AB46" s="310" t="e">
        <f>+'Zał.1_WPF_bazowy'!#REF!</f>
        <v>#REF!</v>
      </c>
      <c r="AC46" s="310" t="e">
        <f>+'Zał.1_WPF_bazowy'!#REF!</f>
        <v>#REF!</v>
      </c>
      <c r="AD46" s="310" t="e">
        <f>+'Zał.1_WPF_bazowy'!#REF!</f>
        <v>#REF!</v>
      </c>
      <c r="AE46" s="310" t="e">
        <f>+'Zał.1_WPF_bazowy'!#REF!</f>
        <v>#REF!</v>
      </c>
      <c r="AF46" s="310" t="e">
        <f>+'Zał.1_WPF_bazowy'!#REF!</f>
        <v>#REF!</v>
      </c>
      <c r="AG46" s="310" t="e">
        <f>+'Zał.1_WPF_bazowy'!#REF!</f>
        <v>#REF!</v>
      </c>
      <c r="AH46" s="310" t="e">
        <f>+'Zał.1_WPF_bazowy'!#REF!</f>
        <v>#REF!</v>
      </c>
      <c r="AI46" s="310" t="e">
        <f>+'Zał.1_WPF_bazowy'!#REF!</f>
        <v>#REF!</v>
      </c>
      <c r="AJ46" s="310" t="e">
        <f>+'Zał.1_WPF_bazowy'!#REF!</f>
        <v>#REF!</v>
      </c>
      <c r="AK46" s="310" t="e">
        <f>+'Zał.1_WPF_bazowy'!#REF!</f>
        <v>#REF!</v>
      </c>
      <c r="AL46" s="311" t="e">
        <f>+'Zał.1_WPF_bazowy'!#REF!</f>
        <v>#REF!</v>
      </c>
    </row>
    <row r="47" spans="1:38" ht="24" outlineLevel="2">
      <c r="A47" s="374"/>
      <c r="B47" s="46" t="s">
        <v>175</v>
      </c>
      <c r="C47" s="257" t="s">
        <v>410</v>
      </c>
      <c r="D47" s="354" t="s">
        <v>455</v>
      </c>
      <c r="E47" s="250">
        <f>'Zał.1_WPF_bazowy'!E47</f>
        <v>0.5637</v>
      </c>
      <c r="F47" s="251">
        <f>'Zał.1_WPF_bazowy'!F47</f>
        <v>0.649</v>
      </c>
      <c r="G47" s="251">
        <f>'Zał.1_WPF_bazowy'!G47</f>
        <v>0.3122</v>
      </c>
      <c r="H47" s="162">
        <f>+IF(H10&lt;&gt;0,H44/H10,"-")</f>
        <v>0.31871808364322246</v>
      </c>
      <c r="I47" s="160">
        <f>+IF(I10&lt;&gt;0,I44/I10,"-")</f>
        <v>0.31869904766317164</v>
      </c>
      <c r="J47" s="161">
        <f aca="true" t="shared" si="6" ref="J47:AL47">+IF(J10&lt;&gt;0,J44/J10,"-")</f>
        <v>0.35185940837917495</v>
      </c>
      <c r="K47" s="161">
        <f t="shared" si="6"/>
        <v>0.3150955760522427</v>
      </c>
      <c r="L47" s="161">
        <f t="shared" si="6"/>
        <v>0.2751330961352657</v>
      </c>
      <c r="M47" s="161">
        <f t="shared" si="6"/>
        <v>0.2244187835680751</v>
      </c>
      <c r="N47" s="161">
        <f t="shared" si="6"/>
        <v>0.1787490908675799</v>
      </c>
      <c r="O47" s="161">
        <f t="shared" si="6"/>
        <v>0.1395135151111111</v>
      </c>
      <c r="P47" s="161">
        <f t="shared" si="6"/>
        <v>0.11119578652173913</v>
      </c>
      <c r="Q47" s="161">
        <f t="shared" si="6"/>
        <v>0.0784324224475882</v>
      </c>
      <c r="R47" s="161">
        <f t="shared" si="6"/>
        <v>0.04694828466390942</v>
      </c>
      <c r="S47" s="161">
        <f t="shared" si="6"/>
        <v>0.018608702899737872</v>
      </c>
      <c r="T47" s="161">
        <f t="shared" si="6"/>
        <v>3.614457825340899E-09</v>
      </c>
      <c r="U47" s="161" t="e">
        <f t="shared" si="6"/>
        <v>#REF!</v>
      </c>
      <c r="V47" s="161" t="e">
        <f t="shared" si="6"/>
        <v>#REF!</v>
      </c>
      <c r="W47" s="161" t="e">
        <f t="shared" si="6"/>
        <v>#REF!</v>
      </c>
      <c r="X47" s="161" t="e">
        <f t="shared" si="6"/>
        <v>#REF!</v>
      </c>
      <c r="Y47" s="161" t="e">
        <f t="shared" si="6"/>
        <v>#REF!</v>
      </c>
      <c r="Z47" s="161" t="e">
        <f t="shared" si="6"/>
        <v>#REF!</v>
      </c>
      <c r="AA47" s="161" t="e">
        <f t="shared" si="6"/>
        <v>#REF!</v>
      </c>
      <c r="AB47" s="161" t="e">
        <f t="shared" si="6"/>
        <v>#REF!</v>
      </c>
      <c r="AC47" s="161" t="e">
        <f t="shared" si="6"/>
        <v>#REF!</v>
      </c>
      <c r="AD47" s="161" t="e">
        <f t="shared" si="6"/>
        <v>#REF!</v>
      </c>
      <c r="AE47" s="161" t="e">
        <f t="shared" si="6"/>
        <v>#REF!</v>
      </c>
      <c r="AF47" s="161" t="e">
        <f t="shared" si="6"/>
        <v>#REF!</v>
      </c>
      <c r="AG47" s="161" t="e">
        <f t="shared" si="6"/>
        <v>#REF!</v>
      </c>
      <c r="AH47" s="161" t="e">
        <f t="shared" si="6"/>
        <v>#REF!</v>
      </c>
      <c r="AI47" s="161" t="e">
        <f t="shared" si="6"/>
        <v>#REF!</v>
      </c>
      <c r="AJ47" s="161" t="e">
        <f t="shared" si="6"/>
        <v>#REF!</v>
      </c>
      <c r="AK47" s="161" t="e">
        <f t="shared" si="6"/>
        <v>#REF!</v>
      </c>
      <c r="AL47" s="162" t="e">
        <f t="shared" si="6"/>
        <v>#REF!</v>
      </c>
    </row>
    <row r="48" spans="1:38" ht="24" outlineLevel="2">
      <c r="A48" s="374"/>
      <c r="B48" s="46" t="s">
        <v>176</v>
      </c>
      <c r="C48" s="257" t="s">
        <v>411</v>
      </c>
      <c r="D48" s="354" t="s">
        <v>456</v>
      </c>
      <c r="E48" s="250">
        <f>'Zał.1_WPF_bazowy'!E48</f>
        <v>0.5637</v>
      </c>
      <c r="F48" s="251">
        <f>'Zał.1_WPF_bazowy'!F48</f>
        <v>0.649</v>
      </c>
      <c r="G48" s="251">
        <f>'Zał.1_WPF_bazowy'!G48</f>
        <v>0.3122</v>
      </c>
      <c r="H48" s="162">
        <f>+IF(H10&lt;&gt;0,(H44-H45)/H10,"-")</f>
        <v>0.31871808364322246</v>
      </c>
      <c r="I48" s="160">
        <f>+IF(I10&lt;&gt;0,(I44-I45)/I10,"-")</f>
        <v>0.31869904766317164</v>
      </c>
      <c r="J48" s="161">
        <f aca="true" t="shared" si="7" ref="J48:AL48">+IF(J10&lt;&gt;0,(J44-J45)/J10,"-")</f>
        <v>0.35185940837917495</v>
      </c>
      <c r="K48" s="161">
        <f t="shared" si="7"/>
        <v>0.3150955760522427</v>
      </c>
      <c r="L48" s="161">
        <f t="shared" si="7"/>
        <v>0.2751330961352657</v>
      </c>
      <c r="M48" s="161">
        <f t="shared" si="7"/>
        <v>0.2244187835680751</v>
      </c>
      <c r="N48" s="161">
        <f t="shared" si="7"/>
        <v>0.1787490908675799</v>
      </c>
      <c r="O48" s="161">
        <f t="shared" si="7"/>
        <v>0.1395135151111111</v>
      </c>
      <c r="P48" s="161">
        <f t="shared" si="7"/>
        <v>0.11119578652173913</v>
      </c>
      <c r="Q48" s="161">
        <f t="shared" si="7"/>
        <v>0.0784324224475882</v>
      </c>
      <c r="R48" s="161">
        <f t="shared" si="7"/>
        <v>0.04694828466390942</v>
      </c>
      <c r="S48" s="161">
        <f t="shared" si="7"/>
        <v>0.018608702899737872</v>
      </c>
      <c r="T48" s="161">
        <f t="shared" si="7"/>
        <v>3.614457825340899E-09</v>
      </c>
      <c r="U48" s="161" t="e">
        <f t="shared" si="7"/>
        <v>#REF!</v>
      </c>
      <c r="V48" s="161" t="e">
        <f t="shared" si="7"/>
        <v>#REF!</v>
      </c>
      <c r="W48" s="161" t="e">
        <f t="shared" si="7"/>
        <v>#REF!</v>
      </c>
      <c r="X48" s="161" t="e">
        <f t="shared" si="7"/>
        <v>#REF!</v>
      </c>
      <c r="Y48" s="161" t="e">
        <f t="shared" si="7"/>
        <v>#REF!</v>
      </c>
      <c r="Z48" s="161" t="e">
        <f t="shared" si="7"/>
        <v>#REF!</v>
      </c>
      <c r="AA48" s="161" t="e">
        <f t="shared" si="7"/>
        <v>#REF!</v>
      </c>
      <c r="AB48" s="161" t="e">
        <f t="shared" si="7"/>
        <v>#REF!</v>
      </c>
      <c r="AC48" s="161" t="e">
        <f t="shared" si="7"/>
        <v>#REF!</v>
      </c>
      <c r="AD48" s="161" t="e">
        <f t="shared" si="7"/>
        <v>#REF!</v>
      </c>
      <c r="AE48" s="161" t="e">
        <f t="shared" si="7"/>
        <v>#REF!</v>
      </c>
      <c r="AF48" s="161" t="e">
        <f t="shared" si="7"/>
        <v>#REF!</v>
      </c>
      <c r="AG48" s="161" t="e">
        <f t="shared" si="7"/>
        <v>#REF!</v>
      </c>
      <c r="AH48" s="161" t="e">
        <f t="shared" si="7"/>
        <v>#REF!</v>
      </c>
      <c r="AI48" s="161" t="e">
        <f t="shared" si="7"/>
        <v>#REF!</v>
      </c>
      <c r="AJ48" s="161" t="e">
        <f t="shared" si="7"/>
        <v>#REF!</v>
      </c>
      <c r="AK48" s="161" t="e">
        <f t="shared" si="7"/>
        <v>#REF!</v>
      </c>
      <c r="AL48" s="162" t="e">
        <f t="shared" si="7"/>
        <v>#REF!</v>
      </c>
    </row>
    <row r="49" spans="1:38" s="142" customFormat="1" ht="40.5" customHeight="1" outlineLevel="1">
      <c r="A49" s="374"/>
      <c r="B49" s="45">
        <v>7</v>
      </c>
      <c r="C49" s="256"/>
      <c r="D49" s="352" t="s">
        <v>276</v>
      </c>
      <c r="E49" s="244">
        <f>'Zał.1_WPF_bazowy'!E49</f>
        <v>0</v>
      </c>
      <c r="F49" s="245">
        <f>'Zał.1_WPF_bazowy'!F49</f>
        <v>0</v>
      </c>
      <c r="G49" s="245">
        <f>'Zał.1_WPF_bazowy'!G49</f>
        <v>0</v>
      </c>
      <c r="H49" s="313">
        <f>'Zał.1_WPF_bazowy'!H49</f>
        <v>0</v>
      </c>
      <c r="I49" s="317">
        <f>+'Zał.1_WPF_bazowy'!I49</f>
        <v>0</v>
      </c>
      <c r="J49" s="318">
        <f>+'Zał.1_WPF_bazowy'!J49</f>
        <v>0</v>
      </c>
      <c r="K49" s="318">
        <f>+'Zał.1_WPF_bazowy'!K49</f>
        <v>0</v>
      </c>
      <c r="L49" s="318">
        <f>+'Zał.1_WPF_bazowy'!L49</f>
        <v>0</v>
      </c>
      <c r="M49" s="318">
        <f>+'Zał.1_WPF_bazowy'!M49</f>
        <v>0</v>
      </c>
      <c r="N49" s="318">
        <f>+'Zał.1_WPF_bazowy'!N49</f>
        <v>0</v>
      </c>
      <c r="O49" s="318">
        <f>+'Zał.1_WPF_bazowy'!O49</f>
        <v>0</v>
      </c>
      <c r="P49" s="318">
        <f>+'Zał.1_WPF_bazowy'!P49</f>
        <v>0</v>
      </c>
      <c r="Q49" s="318">
        <f>+'Zał.1_WPF_bazowy'!Q49</f>
        <v>0</v>
      </c>
      <c r="R49" s="318">
        <f>+'Zał.1_WPF_bazowy'!R49</f>
        <v>0</v>
      </c>
      <c r="S49" s="318">
        <f>+'Zał.1_WPF_bazowy'!S49</f>
        <v>0</v>
      </c>
      <c r="T49" s="318">
        <f>+'Zał.1_WPF_bazowy'!T49</f>
        <v>0</v>
      </c>
      <c r="U49" s="318" t="e">
        <f>+'Zał.1_WPF_bazowy'!#REF!</f>
        <v>#REF!</v>
      </c>
      <c r="V49" s="318" t="e">
        <f>+'Zał.1_WPF_bazowy'!#REF!</f>
        <v>#REF!</v>
      </c>
      <c r="W49" s="318" t="e">
        <f>+'Zał.1_WPF_bazowy'!#REF!</f>
        <v>#REF!</v>
      </c>
      <c r="X49" s="318" t="e">
        <f>+'Zał.1_WPF_bazowy'!#REF!</f>
        <v>#REF!</v>
      </c>
      <c r="Y49" s="318" t="e">
        <f>+'Zał.1_WPF_bazowy'!#REF!</f>
        <v>#REF!</v>
      </c>
      <c r="Z49" s="318" t="e">
        <f>+'Zał.1_WPF_bazowy'!#REF!</f>
        <v>#REF!</v>
      </c>
      <c r="AA49" s="318" t="e">
        <f>+'Zał.1_WPF_bazowy'!#REF!</f>
        <v>#REF!</v>
      </c>
      <c r="AB49" s="318" t="e">
        <f>+'Zał.1_WPF_bazowy'!#REF!</f>
        <v>#REF!</v>
      </c>
      <c r="AC49" s="318" t="e">
        <f>+'Zał.1_WPF_bazowy'!#REF!</f>
        <v>#REF!</v>
      </c>
      <c r="AD49" s="318" t="e">
        <f>+'Zał.1_WPF_bazowy'!#REF!</f>
        <v>#REF!</v>
      </c>
      <c r="AE49" s="318" t="e">
        <f>+'Zał.1_WPF_bazowy'!#REF!</f>
        <v>#REF!</v>
      </c>
      <c r="AF49" s="318" t="e">
        <f>+'Zał.1_WPF_bazowy'!#REF!</f>
        <v>#REF!</v>
      </c>
      <c r="AG49" s="318" t="e">
        <f>+'Zał.1_WPF_bazowy'!#REF!</f>
        <v>#REF!</v>
      </c>
      <c r="AH49" s="318" t="e">
        <f>+'Zał.1_WPF_bazowy'!#REF!</f>
        <v>#REF!</v>
      </c>
      <c r="AI49" s="318" t="e">
        <f>+'Zał.1_WPF_bazowy'!#REF!</f>
        <v>#REF!</v>
      </c>
      <c r="AJ49" s="318" t="e">
        <f>+'Zał.1_WPF_bazowy'!#REF!</f>
        <v>#REF!</v>
      </c>
      <c r="AK49" s="318" t="e">
        <f>+'Zał.1_WPF_bazowy'!#REF!</f>
        <v>#REF!</v>
      </c>
      <c r="AL49" s="319" t="e">
        <f>+'Zał.1_WPF_bazowy'!#REF!</f>
        <v>#REF!</v>
      </c>
    </row>
    <row r="50" spans="1:38" s="142" customFormat="1" ht="15" outlineLevel="1">
      <c r="A50" s="374"/>
      <c r="B50" s="45">
        <v>8</v>
      </c>
      <c r="C50" s="256"/>
      <c r="D50" s="352" t="s">
        <v>177</v>
      </c>
      <c r="E50" s="252" t="s">
        <v>31</v>
      </c>
      <c r="F50" s="253" t="s">
        <v>31</v>
      </c>
      <c r="G50" s="253" t="s">
        <v>31</v>
      </c>
      <c r="H50" s="320" t="s">
        <v>31</v>
      </c>
      <c r="I50" s="321" t="s">
        <v>31</v>
      </c>
      <c r="J50" s="322" t="s">
        <v>31</v>
      </c>
      <c r="K50" s="322" t="s">
        <v>31</v>
      </c>
      <c r="L50" s="322" t="s">
        <v>31</v>
      </c>
      <c r="M50" s="322" t="s">
        <v>31</v>
      </c>
      <c r="N50" s="322" t="s">
        <v>31</v>
      </c>
      <c r="O50" s="322" t="s">
        <v>31</v>
      </c>
      <c r="P50" s="322" t="s">
        <v>31</v>
      </c>
      <c r="Q50" s="322" t="s">
        <v>31</v>
      </c>
      <c r="R50" s="322" t="s">
        <v>31</v>
      </c>
      <c r="S50" s="322" t="s">
        <v>31</v>
      </c>
      <c r="T50" s="322" t="s">
        <v>31</v>
      </c>
      <c r="U50" s="322" t="s">
        <v>31</v>
      </c>
      <c r="V50" s="322" t="s">
        <v>31</v>
      </c>
      <c r="W50" s="322" t="s">
        <v>31</v>
      </c>
      <c r="X50" s="322" t="s">
        <v>31</v>
      </c>
      <c r="Y50" s="322" t="s">
        <v>31</v>
      </c>
      <c r="Z50" s="322" t="s">
        <v>31</v>
      </c>
      <c r="AA50" s="322" t="s">
        <v>31</v>
      </c>
      <c r="AB50" s="322" t="s">
        <v>31</v>
      </c>
      <c r="AC50" s="322" t="s">
        <v>31</v>
      </c>
      <c r="AD50" s="322" t="s">
        <v>31</v>
      </c>
      <c r="AE50" s="322" t="s">
        <v>31</v>
      </c>
      <c r="AF50" s="322" t="s">
        <v>31</v>
      </c>
      <c r="AG50" s="322" t="s">
        <v>31</v>
      </c>
      <c r="AH50" s="322" t="s">
        <v>31</v>
      </c>
      <c r="AI50" s="322" t="s">
        <v>31</v>
      </c>
      <c r="AJ50" s="322" t="s">
        <v>31</v>
      </c>
      <c r="AK50" s="322" t="s">
        <v>31</v>
      </c>
      <c r="AL50" s="323" t="s">
        <v>31</v>
      </c>
    </row>
    <row r="51" spans="1:38" ht="14.25" outlineLevel="2">
      <c r="A51" s="374"/>
      <c r="B51" s="46" t="s">
        <v>178</v>
      </c>
      <c r="C51" s="257" t="s">
        <v>412</v>
      </c>
      <c r="D51" s="354" t="s">
        <v>275</v>
      </c>
      <c r="E51" s="246">
        <f>'Zał.1_WPF_bazowy'!E51</f>
        <v>1358915.02</v>
      </c>
      <c r="F51" s="247">
        <f>'Zał.1_WPF_bazowy'!F51</f>
        <v>2751972.83</v>
      </c>
      <c r="G51" s="247">
        <f>'Zał.1_WPF_bazowy'!G51</f>
        <v>22721</v>
      </c>
      <c r="H51" s="165">
        <f>+H11-H22</f>
        <v>897103.2100000009</v>
      </c>
      <c r="I51" s="163">
        <f>+I11-I22</f>
        <v>180585</v>
      </c>
      <c r="J51" s="164">
        <f aca="true" t="shared" si="8" ref="J51:AL51">+J11-J22</f>
        <v>693045</v>
      </c>
      <c r="K51" s="164">
        <f t="shared" si="8"/>
        <v>1246025</v>
      </c>
      <c r="L51" s="164">
        <f t="shared" si="8"/>
        <v>1499000</v>
      </c>
      <c r="M51" s="164">
        <f t="shared" si="8"/>
        <v>1770000</v>
      </c>
      <c r="N51" s="164">
        <f t="shared" si="8"/>
        <v>2016000</v>
      </c>
      <c r="O51" s="164">
        <f t="shared" si="8"/>
        <v>2253000</v>
      </c>
      <c r="P51" s="164">
        <f t="shared" si="8"/>
        <v>2400000</v>
      </c>
      <c r="Q51" s="164">
        <f t="shared" si="8"/>
        <v>2689000</v>
      </c>
      <c r="R51" s="164">
        <f t="shared" si="8"/>
        <v>2983000</v>
      </c>
      <c r="S51" s="164">
        <f t="shared" si="8"/>
        <v>3280000</v>
      </c>
      <c r="T51" s="164">
        <f t="shared" si="8"/>
        <v>3574000</v>
      </c>
      <c r="U51" s="164" t="e">
        <f t="shared" si="8"/>
        <v>#REF!</v>
      </c>
      <c r="V51" s="164" t="e">
        <f t="shared" si="8"/>
        <v>#REF!</v>
      </c>
      <c r="W51" s="164" t="e">
        <f t="shared" si="8"/>
        <v>#REF!</v>
      </c>
      <c r="X51" s="164" t="e">
        <f t="shared" si="8"/>
        <v>#REF!</v>
      </c>
      <c r="Y51" s="164" t="e">
        <f t="shared" si="8"/>
        <v>#REF!</v>
      </c>
      <c r="Z51" s="164" t="e">
        <f t="shared" si="8"/>
        <v>#REF!</v>
      </c>
      <c r="AA51" s="164" t="e">
        <f t="shared" si="8"/>
        <v>#REF!</v>
      </c>
      <c r="AB51" s="164" t="e">
        <f t="shared" si="8"/>
        <v>#REF!</v>
      </c>
      <c r="AC51" s="164" t="e">
        <f t="shared" si="8"/>
        <v>#REF!</v>
      </c>
      <c r="AD51" s="164" t="e">
        <f t="shared" si="8"/>
        <v>#REF!</v>
      </c>
      <c r="AE51" s="164" t="e">
        <f t="shared" si="8"/>
        <v>#REF!</v>
      </c>
      <c r="AF51" s="164" t="e">
        <f t="shared" si="8"/>
        <v>#REF!</v>
      </c>
      <c r="AG51" s="164" t="e">
        <f t="shared" si="8"/>
        <v>#REF!</v>
      </c>
      <c r="AH51" s="164" t="e">
        <f t="shared" si="8"/>
        <v>#REF!</v>
      </c>
      <c r="AI51" s="164" t="e">
        <f t="shared" si="8"/>
        <v>#REF!</v>
      </c>
      <c r="AJ51" s="164" t="e">
        <f t="shared" si="8"/>
        <v>#REF!</v>
      </c>
      <c r="AK51" s="164" t="e">
        <f t="shared" si="8"/>
        <v>#REF!</v>
      </c>
      <c r="AL51" s="165" t="e">
        <f t="shared" si="8"/>
        <v>#REF!</v>
      </c>
    </row>
    <row r="52" spans="1:38" ht="24" outlineLevel="2">
      <c r="A52" s="374"/>
      <c r="B52" s="46" t="s">
        <v>179</v>
      </c>
      <c r="C52" s="257" t="s">
        <v>446</v>
      </c>
      <c r="D52" s="354" t="s">
        <v>457</v>
      </c>
      <c r="E52" s="246">
        <f>'Zał.1_WPF_bazowy'!E52</f>
        <v>1358915.02</v>
      </c>
      <c r="F52" s="247">
        <f>'Zał.1_WPF_bazowy'!F52</f>
        <v>2751972.83</v>
      </c>
      <c r="G52" s="247">
        <f>'Zał.1_WPF_bazowy'!G52</f>
        <v>1111707</v>
      </c>
      <c r="H52" s="165">
        <f>+H11+H31+H33-H22</f>
        <v>1986089.6500000022</v>
      </c>
      <c r="I52" s="163">
        <f>+I11+I31+I33-(I22-I25)</f>
        <v>496466</v>
      </c>
      <c r="J52" s="164">
        <f>+J11+J31+J33-(J22-J25)</f>
        <v>693045</v>
      </c>
      <c r="K52" s="164">
        <f>+K11+K31+K33-(K22-K25)</f>
        <v>1246025</v>
      </c>
      <c r="L52" s="164">
        <f>+L11+L31+L33-L22</f>
        <v>1499000</v>
      </c>
      <c r="M52" s="164">
        <f aca="true" t="shared" si="9" ref="M52:AL52">+M11+M31+M33-M22</f>
        <v>1770000</v>
      </c>
      <c r="N52" s="164">
        <f t="shared" si="9"/>
        <v>2016000</v>
      </c>
      <c r="O52" s="164">
        <f t="shared" si="9"/>
        <v>2253000</v>
      </c>
      <c r="P52" s="164">
        <f t="shared" si="9"/>
        <v>2400000</v>
      </c>
      <c r="Q52" s="164">
        <f t="shared" si="9"/>
        <v>2689000</v>
      </c>
      <c r="R52" s="164">
        <f t="shared" si="9"/>
        <v>2983000</v>
      </c>
      <c r="S52" s="164">
        <f t="shared" si="9"/>
        <v>3280000</v>
      </c>
      <c r="T52" s="164">
        <f t="shared" si="9"/>
        <v>3574000</v>
      </c>
      <c r="U52" s="164" t="e">
        <f t="shared" si="9"/>
        <v>#REF!</v>
      </c>
      <c r="V52" s="164" t="e">
        <f t="shared" si="9"/>
        <v>#REF!</v>
      </c>
      <c r="W52" s="164" t="e">
        <f t="shared" si="9"/>
        <v>#REF!</v>
      </c>
      <c r="X52" s="164" t="e">
        <f t="shared" si="9"/>
        <v>#REF!</v>
      </c>
      <c r="Y52" s="164" t="e">
        <f t="shared" si="9"/>
        <v>#REF!</v>
      </c>
      <c r="Z52" s="164" t="e">
        <f t="shared" si="9"/>
        <v>#REF!</v>
      </c>
      <c r="AA52" s="164" t="e">
        <f t="shared" si="9"/>
        <v>#REF!</v>
      </c>
      <c r="AB52" s="164" t="e">
        <f t="shared" si="9"/>
        <v>#REF!</v>
      </c>
      <c r="AC52" s="164" t="e">
        <f t="shared" si="9"/>
        <v>#REF!</v>
      </c>
      <c r="AD52" s="164" t="e">
        <f t="shared" si="9"/>
        <v>#REF!</v>
      </c>
      <c r="AE52" s="164" t="e">
        <f t="shared" si="9"/>
        <v>#REF!</v>
      </c>
      <c r="AF52" s="164" t="e">
        <f t="shared" si="9"/>
        <v>#REF!</v>
      </c>
      <c r="AG52" s="164" t="e">
        <f t="shared" si="9"/>
        <v>#REF!</v>
      </c>
      <c r="AH52" s="164" t="e">
        <f t="shared" si="9"/>
        <v>#REF!</v>
      </c>
      <c r="AI52" s="164" t="e">
        <f t="shared" si="9"/>
        <v>#REF!</v>
      </c>
      <c r="AJ52" s="164" t="e">
        <f t="shared" si="9"/>
        <v>#REF!</v>
      </c>
      <c r="AK52" s="164" t="e">
        <f t="shared" si="9"/>
        <v>#REF!</v>
      </c>
      <c r="AL52" s="165" t="e">
        <f t="shared" si="9"/>
        <v>#REF!</v>
      </c>
    </row>
    <row r="53" spans="1:38" s="142" customFormat="1" ht="15" outlineLevel="1">
      <c r="A53" s="374" t="s">
        <v>31</v>
      </c>
      <c r="B53" s="45">
        <v>9</v>
      </c>
      <c r="C53" s="256"/>
      <c r="D53" s="352" t="s">
        <v>180</v>
      </c>
      <c r="E53" s="252" t="s">
        <v>31</v>
      </c>
      <c r="F53" s="253" t="s">
        <v>31</v>
      </c>
      <c r="G53" s="253" t="s">
        <v>31</v>
      </c>
      <c r="H53" s="320" t="s">
        <v>31</v>
      </c>
      <c r="I53" s="321" t="s">
        <v>31</v>
      </c>
      <c r="J53" s="322" t="s">
        <v>31</v>
      </c>
      <c r="K53" s="322" t="s">
        <v>31</v>
      </c>
      <c r="L53" s="322" t="s">
        <v>31</v>
      </c>
      <c r="M53" s="322" t="s">
        <v>31</v>
      </c>
      <c r="N53" s="322" t="s">
        <v>31</v>
      </c>
      <c r="O53" s="322" t="s">
        <v>31</v>
      </c>
      <c r="P53" s="322" t="s">
        <v>31</v>
      </c>
      <c r="Q53" s="322" t="s">
        <v>31</v>
      </c>
      <c r="R53" s="322" t="s">
        <v>31</v>
      </c>
      <c r="S53" s="322" t="s">
        <v>31</v>
      </c>
      <c r="T53" s="322" t="s">
        <v>31</v>
      </c>
      <c r="U53" s="322" t="s">
        <v>31</v>
      </c>
      <c r="V53" s="322" t="s">
        <v>31</v>
      </c>
      <c r="W53" s="322" t="s">
        <v>31</v>
      </c>
      <c r="X53" s="322" t="s">
        <v>31</v>
      </c>
      <c r="Y53" s="322" t="s">
        <v>31</v>
      </c>
      <c r="Z53" s="322" t="s">
        <v>31</v>
      </c>
      <c r="AA53" s="322" t="s">
        <v>31</v>
      </c>
      <c r="AB53" s="322" t="s">
        <v>31</v>
      </c>
      <c r="AC53" s="322" t="s">
        <v>31</v>
      </c>
      <c r="AD53" s="322" t="s">
        <v>31</v>
      </c>
      <c r="AE53" s="322" t="s">
        <v>31</v>
      </c>
      <c r="AF53" s="322" t="s">
        <v>31</v>
      </c>
      <c r="AG53" s="322" t="s">
        <v>31</v>
      </c>
      <c r="AH53" s="322" t="s">
        <v>31</v>
      </c>
      <c r="AI53" s="322" t="s">
        <v>31</v>
      </c>
      <c r="AJ53" s="322" t="s">
        <v>31</v>
      </c>
      <c r="AK53" s="322" t="s">
        <v>31</v>
      </c>
      <c r="AL53" s="323" t="s">
        <v>31</v>
      </c>
    </row>
    <row r="54" spans="1:38" ht="24" outlineLevel="2">
      <c r="A54" s="374"/>
      <c r="B54" s="46" t="s">
        <v>181</v>
      </c>
      <c r="C54" s="257" t="s">
        <v>413</v>
      </c>
      <c r="D54" s="354" t="s">
        <v>458</v>
      </c>
      <c r="E54" s="250">
        <f>'Zał.1_WPF_bazowy'!E54</f>
        <v>0.0407</v>
      </c>
      <c r="F54" s="251">
        <f>'Zał.1_WPF_bazowy'!F54</f>
        <v>0.0536</v>
      </c>
      <c r="G54" s="251">
        <f>'Zał.1_WPF_bazowy'!G54</f>
        <v>0.2008</v>
      </c>
      <c r="H54" s="162">
        <f>+IF(H10&lt;&gt;0,(H23+H27+H40)/H10,"-")</f>
        <v>0.2101040757741571</v>
      </c>
      <c r="I54" s="160">
        <f>+IF(I10&lt;&gt;0,(I23+I27+I40)/I10,"-")</f>
        <v>0.058574988757707426</v>
      </c>
      <c r="J54" s="161">
        <f aca="true" t="shared" si="10" ref="J54:AL54">+IF(J10&lt;&gt;0,(J23+J27+J40)/J10,"-")</f>
        <v>0.06257592866917934</v>
      </c>
      <c r="K54" s="161">
        <f t="shared" si="10"/>
        <v>0.05739715906382573</v>
      </c>
      <c r="L54" s="161">
        <f t="shared" si="10"/>
        <v>0.05995821256038647</v>
      </c>
      <c r="M54" s="161">
        <f t="shared" si="10"/>
        <v>0.056344366197183096</v>
      </c>
      <c r="N54" s="161">
        <f t="shared" si="10"/>
        <v>0.05066278538812785</v>
      </c>
      <c r="O54" s="161">
        <f t="shared" si="10"/>
        <v>0.04344671111111111</v>
      </c>
      <c r="P54" s="161">
        <f t="shared" si="10"/>
        <v>0.03237178260869565</v>
      </c>
      <c r="Q54" s="161">
        <f t="shared" si="10"/>
        <v>0.036085350264189534</v>
      </c>
      <c r="R54" s="161">
        <f t="shared" si="10"/>
        <v>0.033707273258971465</v>
      </c>
      <c r="S54" s="161">
        <f t="shared" si="10"/>
        <v>0.02950733125819135</v>
      </c>
      <c r="T54" s="161">
        <f t="shared" si="10"/>
        <v>0.01896987951807229</v>
      </c>
      <c r="U54" s="161" t="e">
        <f t="shared" si="10"/>
        <v>#REF!</v>
      </c>
      <c r="V54" s="161" t="e">
        <f t="shared" si="10"/>
        <v>#REF!</v>
      </c>
      <c r="W54" s="161" t="e">
        <f t="shared" si="10"/>
        <v>#REF!</v>
      </c>
      <c r="X54" s="161" t="e">
        <f t="shared" si="10"/>
        <v>#REF!</v>
      </c>
      <c r="Y54" s="161" t="e">
        <f t="shared" si="10"/>
        <v>#REF!</v>
      </c>
      <c r="Z54" s="161" t="e">
        <f t="shared" si="10"/>
        <v>#REF!</v>
      </c>
      <c r="AA54" s="161" t="e">
        <f t="shared" si="10"/>
        <v>#REF!</v>
      </c>
      <c r="AB54" s="161" t="e">
        <f t="shared" si="10"/>
        <v>#REF!</v>
      </c>
      <c r="AC54" s="161" t="e">
        <f t="shared" si="10"/>
        <v>#REF!</v>
      </c>
      <c r="AD54" s="161" t="e">
        <f t="shared" si="10"/>
        <v>#REF!</v>
      </c>
      <c r="AE54" s="161" t="e">
        <f t="shared" si="10"/>
        <v>#REF!</v>
      </c>
      <c r="AF54" s="161" t="e">
        <f t="shared" si="10"/>
        <v>#REF!</v>
      </c>
      <c r="AG54" s="161" t="e">
        <f t="shared" si="10"/>
        <v>#REF!</v>
      </c>
      <c r="AH54" s="161" t="e">
        <f t="shared" si="10"/>
        <v>#REF!</v>
      </c>
      <c r="AI54" s="161" t="e">
        <f t="shared" si="10"/>
        <v>#REF!</v>
      </c>
      <c r="AJ54" s="161" t="e">
        <f t="shared" si="10"/>
        <v>#REF!</v>
      </c>
      <c r="AK54" s="161" t="e">
        <f t="shared" si="10"/>
        <v>#REF!</v>
      </c>
      <c r="AL54" s="162" t="e">
        <f t="shared" si="10"/>
        <v>#REF!</v>
      </c>
    </row>
    <row r="55" spans="1:38" ht="24" outlineLevel="2">
      <c r="A55" s="374"/>
      <c r="B55" s="46" t="s">
        <v>182</v>
      </c>
      <c r="C55" s="257" t="s">
        <v>414</v>
      </c>
      <c r="D55" s="354" t="s">
        <v>235</v>
      </c>
      <c r="E55" s="250">
        <f>'Zał.1_WPF_bazowy'!E55</f>
        <v>0.0407</v>
      </c>
      <c r="F55" s="251">
        <f>'Zał.1_WPF_bazowy'!F55</f>
        <v>0.0536</v>
      </c>
      <c r="G55" s="251">
        <f>'Zał.1_WPF_bazowy'!G55</f>
        <v>0.2008</v>
      </c>
      <c r="H55" s="162">
        <f>+IF(H10&lt;&gt;0,(H23+H27+H40-H41)/H10,"-")</f>
        <v>0.054136812891784736</v>
      </c>
      <c r="I55" s="160">
        <f>+IF(I10&lt;&gt;0,(I23+I27+I40-I41)/I10,"-")</f>
        <v>0.058574988757707426</v>
      </c>
      <c r="J55" s="161">
        <f aca="true" t="shared" si="11" ref="J55:AL55">+IF(J10&lt;&gt;0,(J23+J27+J40-J41)/J10,"-")</f>
        <v>0.06257592866917934</v>
      </c>
      <c r="K55" s="161">
        <f t="shared" si="11"/>
        <v>0.05739715906382573</v>
      </c>
      <c r="L55" s="161">
        <f t="shared" si="11"/>
        <v>0.05995821256038647</v>
      </c>
      <c r="M55" s="161">
        <f t="shared" si="11"/>
        <v>0.056344366197183096</v>
      </c>
      <c r="N55" s="161">
        <f t="shared" si="11"/>
        <v>0.05066278538812785</v>
      </c>
      <c r="O55" s="161">
        <f t="shared" si="11"/>
        <v>0.04344671111111111</v>
      </c>
      <c r="P55" s="161">
        <f t="shared" si="11"/>
        <v>0.03237178260869565</v>
      </c>
      <c r="Q55" s="161">
        <f t="shared" si="11"/>
        <v>0.036085350264189534</v>
      </c>
      <c r="R55" s="161">
        <f t="shared" si="11"/>
        <v>0.033707273258971465</v>
      </c>
      <c r="S55" s="161">
        <f t="shared" si="11"/>
        <v>0.02950733125819135</v>
      </c>
      <c r="T55" s="161">
        <f t="shared" si="11"/>
        <v>0.01896987951807229</v>
      </c>
      <c r="U55" s="161" t="e">
        <f t="shared" si="11"/>
        <v>#REF!</v>
      </c>
      <c r="V55" s="161" t="e">
        <f t="shared" si="11"/>
        <v>#REF!</v>
      </c>
      <c r="W55" s="161" t="e">
        <f t="shared" si="11"/>
        <v>#REF!</v>
      </c>
      <c r="X55" s="161" t="e">
        <f t="shared" si="11"/>
        <v>#REF!</v>
      </c>
      <c r="Y55" s="161" t="e">
        <f t="shared" si="11"/>
        <v>#REF!</v>
      </c>
      <c r="Z55" s="161" t="e">
        <f t="shared" si="11"/>
        <v>#REF!</v>
      </c>
      <c r="AA55" s="161" t="e">
        <f t="shared" si="11"/>
        <v>#REF!</v>
      </c>
      <c r="AB55" s="161" t="e">
        <f t="shared" si="11"/>
        <v>#REF!</v>
      </c>
      <c r="AC55" s="161" t="e">
        <f t="shared" si="11"/>
        <v>#REF!</v>
      </c>
      <c r="AD55" s="161" t="e">
        <f t="shared" si="11"/>
        <v>#REF!</v>
      </c>
      <c r="AE55" s="161" t="e">
        <f t="shared" si="11"/>
        <v>#REF!</v>
      </c>
      <c r="AF55" s="161" t="e">
        <f t="shared" si="11"/>
        <v>#REF!</v>
      </c>
      <c r="AG55" s="161" t="e">
        <f t="shared" si="11"/>
        <v>#REF!</v>
      </c>
      <c r="AH55" s="161" t="e">
        <f t="shared" si="11"/>
        <v>#REF!</v>
      </c>
      <c r="AI55" s="161" t="e">
        <f t="shared" si="11"/>
        <v>#REF!</v>
      </c>
      <c r="AJ55" s="161" t="e">
        <f t="shared" si="11"/>
        <v>#REF!</v>
      </c>
      <c r="AK55" s="161" t="e">
        <f t="shared" si="11"/>
        <v>#REF!</v>
      </c>
      <c r="AL55" s="162" t="e">
        <f t="shared" si="11"/>
        <v>#REF!</v>
      </c>
    </row>
    <row r="56" spans="1:38" ht="36" outlineLevel="2">
      <c r="A56" s="374" t="s">
        <v>31</v>
      </c>
      <c r="B56" s="46" t="s">
        <v>183</v>
      </c>
      <c r="C56" s="257" t="s">
        <v>413</v>
      </c>
      <c r="D56" s="354" t="s">
        <v>237</v>
      </c>
      <c r="E56" s="250">
        <f>'Zał.1_WPF_bazowy'!E56</f>
        <v>0.0407</v>
      </c>
      <c r="F56" s="251">
        <f>'Zał.1_WPF_bazowy'!F56</f>
        <v>0.0536</v>
      </c>
      <c r="G56" s="251">
        <f>'Zał.1_WPF_bazowy'!G56</f>
        <v>0.2008</v>
      </c>
      <c r="H56" s="162">
        <f>+IF(H10&lt;&gt;0,(H23+H27+H40)/H10,"-")</f>
        <v>0.2101040757741571</v>
      </c>
      <c r="I56" s="160">
        <f>+IF(I10&lt;&gt;0,(I23+I27+I40)/I10,"-")</f>
        <v>0.058574988757707426</v>
      </c>
      <c r="J56" s="161">
        <f aca="true" t="shared" si="12" ref="J56:AL56">+IF(J10&lt;&gt;0,(J23+J27+J40)/J10,"-")</f>
        <v>0.06257592866917934</v>
      </c>
      <c r="K56" s="161">
        <f t="shared" si="12"/>
        <v>0.05739715906382573</v>
      </c>
      <c r="L56" s="161">
        <f t="shared" si="12"/>
        <v>0.05995821256038647</v>
      </c>
      <c r="M56" s="161">
        <f t="shared" si="12"/>
        <v>0.056344366197183096</v>
      </c>
      <c r="N56" s="161">
        <f t="shared" si="12"/>
        <v>0.05066278538812785</v>
      </c>
      <c r="O56" s="161">
        <f t="shared" si="12"/>
        <v>0.04344671111111111</v>
      </c>
      <c r="P56" s="161">
        <f t="shared" si="12"/>
        <v>0.03237178260869565</v>
      </c>
      <c r="Q56" s="161">
        <f t="shared" si="12"/>
        <v>0.036085350264189534</v>
      </c>
      <c r="R56" s="161">
        <f t="shared" si="12"/>
        <v>0.033707273258971465</v>
      </c>
      <c r="S56" s="161">
        <f t="shared" si="12"/>
        <v>0.02950733125819135</v>
      </c>
      <c r="T56" s="161">
        <f t="shared" si="12"/>
        <v>0.01896987951807229</v>
      </c>
      <c r="U56" s="161" t="e">
        <f t="shared" si="12"/>
        <v>#REF!</v>
      </c>
      <c r="V56" s="161" t="e">
        <f t="shared" si="12"/>
        <v>#REF!</v>
      </c>
      <c r="W56" s="161" t="e">
        <f t="shared" si="12"/>
        <v>#REF!</v>
      </c>
      <c r="X56" s="161" t="e">
        <f t="shared" si="12"/>
        <v>#REF!</v>
      </c>
      <c r="Y56" s="161" t="e">
        <f t="shared" si="12"/>
        <v>#REF!</v>
      </c>
      <c r="Z56" s="161" t="e">
        <f t="shared" si="12"/>
        <v>#REF!</v>
      </c>
      <c r="AA56" s="161" t="e">
        <f t="shared" si="12"/>
        <v>#REF!</v>
      </c>
      <c r="AB56" s="161" t="e">
        <f t="shared" si="12"/>
        <v>#REF!</v>
      </c>
      <c r="AC56" s="161" t="e">
        <f t="shared" si="12"/>
        <v>#REF!</v>
      </c>
      <c r="AD56" s="161" t="e">
        <f t="shared" si="12"/>
        <v>#REF!</v>
      </c>
      <c r="AE56" s="161" t="e">
        <f t="shared" si="12"/>
        <v>#REF!</v>
      </c>
      <c r="AF56" s="161" t="e">
        <f t="shared" si="12"/>
        <v>#REF!</v>
      </c>
      <c r="AG56" s="161" t="e">
        <f t="shared" si="12"/>
        <v>#REF!</v>
      </c>
      <c r="AH56" s="161" t="e">
        <f t="shared" si="12"/>
        <v>#REF!</v>
      </c>
      <c r="AI56" s="161" t="e">
        <f t="shared" si="12"/>
        <v>#REF!</v>
      </c>
      <c r="AJ56" s="161" t="e">
        <f t="shared" si="12"/>
        <v>#REF!</v>
      </c>
      <c r="AK56" s="161" t="e">
        <f t="shared" si="12"/>
        <v>#REF!</v>
      </c>
      <c r="AL56" s="162" t="e">
        <f t="shared" si="12"/>
        <v>#REF!</v>
      </c>
    </row>
    <row r="57" spans="1:38" ht="36" outlineLevel="2">
      <c r="A57" s="374" t="s">
        <v>31</v>
      </c>
      <c r="B57" s="46" t="s">
        <v>184</v>
      </c>
      <c r="C57" s="257" t="s">
        <v>414</v>
      </c>
      <c r="D57" s="354" t="s">
        <v>236</v>
      </c>
      <c r="E57" s="250">
        <f>'Zał.1_WPF_bazowy'!E57</f>
        <v>0.0407</v>
      </c>
      <c r="F57" s="251">
        <f>'Zał.1_WPF_bazowy'!F57</f>
        <v>0.0536</v>
      </c>
      <c r="G57" s="251">
        <f>'Zał.1_WPF_bazowy'!G57</f>
        <v>0.2008</v>
      </c>
      <c r="H57" s="162">
        <f>+IF(H10&lt;&gt;0,(H23+H27+H40-H41)/H10,"-")</f>
        <v>0.054136812891784736</v>
      </c>
      <c r="I57" s="160">
        <f>+IF(I10&lt;&gt;0,(I23+I27+I40-I41)/I10,"-")</f>
        <v>0.058574988757707426</v>
      </c>
      <c r="J57" s="161">
        <f aca="true" t="shared" si="13" ref="J57:AL57">+IF(J10&lt;&gt;0,(J23+J27+J40-J41)/J10,"-")</f>
        <v>0.06257592866917934</v>
      </c>
      <c r="K57" s="161">
        <f t="shared" si="13"/>
        <v>0.05739715906382573</v>
      </c>
      <c r="L57" s="161">
        <f t="shared" si="13"/>
        <v>0.05995821256038647</v>
      </c>
      <c r="M57" s="161">
        <f t="shared" si="13"/>
        <v>0.056344366197183096</v>
      </c>
      <c r="N57" s="161">
        <f t="shared" si="13"/>
        <v>0.05066278538812785</v>
      </c>
      <c r="O57" s="161">
        <f t="shared" si="13"/>
        <v>0.04344671111111111</v>
      </c>
      <c r="P57" s="161">
        <f t="shared" si="13"/>
        <v>0.03237178260869565</v>
      </c>
      <c r="Q57" s="161">
        <f t="shared" si="13"/>
        <v>0.036085350264189534</v>
      </c>
      <c r="R57" s="161">
        <f t="shared" si="13"/>
        <v>0.033707273258971465</v>
      </c>
      <c r="S57" s="161">
        <f t="shared" si="13"/>
        <v>0.02950733125819135</v>
      </c>
      <c r="T57" s="161">
        <f t="shared" si="13"/>
        <v>0.01896987951807229</v>
      </c>
      <c r="U57" s="161" t="e">
        <f t="shared" si="13"/>
        <v>#REF!</v>
      </c>
      <c r="V57" s="161" t="e">
        <f t="shared" si="13"/>
        <v>#REF!</v>
      </c>
      <c r="W57" s="161" t="e">
        <f t="shared" si="13"/>
        <v>#REF!</v>
      </c>
      <c r="X57" s="161" t="e">
        <f t="shared" si="13"/>
        <v>#REF!</v>
      </c>
      <c r="Y57" s="161" t="e">
        <f t="shared" si="13"/>
        <v>#REF!</v>
      </c>
      <c r="Z57" s="161" t="e">
        <f t="shared" si="13"/>
        <v>#REF!</v>
      </c>
      <c r="AA57" s="161" t="e">
        <f t="shared" si="13"/>
        <v>#REF!</v>
      </c>
      <c r="AB57" s="161" t="e">
        <f t="shared" si="13"/>
        <v>#REF!</v>
      </c>
      <c r="AC57" s="161" t="e">
        <f t="shared" si="13"/>
        <v>#REF!</v>
      </c>
      <c r="AD57" s="161" t="e">
        <f t="shared" si="13"/>
        <v>#REF!</v>
      </c>
      <c r="AE57" s="161" t="e">
        <f t="shared" si="13"/>
        <v>#REF!</v>
      </c>
      <c r="AF57" s="161" t="e">
        <f t="shared" si="13"/>
        <v>#REF!</v>
      </c>
      <c r="AG57" s="161" t="e">
        <f t="shared" si="13"/>
        <v>#REF!</v>
      </c>
      <c r="AH57" s="161" t="e">
        <f t="shared" si="13"/>
        <v>#REF!</v>
      </c>
      <c r="AI57" s="161" t="e">
        <f t="shared" si="13"/>
        <v>#REF!</v>
      </c>
      <c r="AJ57" s="161" t="e">
        <f t="shared" si="13"/>
        <v>#REF!</v>
      </c>
      <c r="AK57" s="161" t="e">
        <f t="shared" si="13"/>
        <v>#REF!</v>
      </c>
      <c r="AL57" s="162" t="e">
        <f t="shared" si="13"/>
        <v>#REF!</v>
      </c>
    </row>
    <row r="58" spans="1:38" ht="24" outlineLevel="2">
      <c r="A58" s="374" t="s">
        <v>31</v>
      </c>
      <c r="B58" s="46" t="s">
        <v>185</v>
      </c>
      <c r="C58" s="257"/>
      <c r="D58" s="354" t="s">
        <v>238</v>
      </c>
      <c r="E58" s="246">
        <f>'Zał.1_WPF_bazowy'!E58</f>
        <v>0</v>
      </c>
      <c r="F58" s="247">
        <f>'Zał.1_WPF_bazowy'!F58</f>
        <v>0</v>
      </c>
      <c r="G58" s="247">
        <f>'Zał.1_WPF_bazowy'!G58</f>
        <v>0</v>
      </c>
      <c r="H58" s="308">
        <f>'Zał.1_WPF_bazowy'!H58</f>
        <v>0</v>
      </c>
      <c r="I58" s="309">
        <f>+'Zał.1_WPF_bazowy'!I58</f>
        <v>0</v>
      </c>
      <c r="J58" s="310">
        <f>+'Zał.1_WPF_bazowy'!J58</f>
        <v>0</v>
      </c>
      <c r="K58" s="310">
        <f>+'Zał.1_WPF_bazowy'!K58</f>
        <v>0</v>
      </c>
      <c r="L58" s="310">
        <f>+'Zał.1_WPF_bazowy'!L58</f>
        <v>0</v>
      </c>
      <c r="M58" s="310">
        <f>+'Zał.1_WPF_bazowy'!M58</f>
        <v>0</v>
      </c>
      <c r="N58" s="310">
        <f>+'Zał.1_WPF_bazowy'!N58</f>
        <v>0</v>
      </c>
      <c r="O58" s="310">
        <f>+'Zał.1_WPF_bazowy'!O58</f>
        <v>0</v>
      </c>
      <c r="P58" s="310">
        <f>+'Zał.1_WPF_bazowy'!P58</f>
        <v>0</v>
      </c>
      <c r="Q58" s="310">
        <f>+'Zał.1_WPF_bazowy'!Q58</f>
        <v>0</v>
      </c>
      <c r="R58" s="310">
        <f>+'Zał.1_WPF_bazowy'!R58</f>
        <v>0</v>
      </c>
      <c r="S58" s="310">
        <f>+'Zał.1_WPF_bazowy'!S58</f>
        <v>0</v>
      </c>
      <c r="T58" s="310">
        <f>+'Zał.1_WPF_bazowy'!T58</f>
        <v>0</v>
      </c>
      <c r="U58" s="310" t="e">
        <f>+'Zał.1_WPF_bazowy'!#REF!</f>
        <v>#REF!</v>
      </c>
      <c r="V58" s="310" t="e">
        <f>+'Zał.1_WPF_bazowy'!#REF!</f>
        <v>#REF!</v>
      </c>
      <c r="W58" s="310" t="e">
        <f>+'Zał.1_WPF_bazowy'!#REF!</f>
        <v>#REF!</v>
      </c>
      <c r="X58" s="310" t="e">
        <f>+'Zał.1_WPF_bazowy'!#REF!</f>
        <v>#REF!</v>
      </c>
      <c r="Y58" s="310" t="e">
        <f>+'Zał.1_WPF_bazowy'!#REF!</f>
        <v>#REF!</v>
      </c>
      <c r="Z58" s="310" t="e">
        <f>+'Zał.1_WPF_bazowy'!#REF!</f>
        <v>#REF!</v>
      </c>
      <c r="AA58" s="310" t="e">
        <f>+'Zał.1_WPF_bazowy'!#REF!</f>
        <v>#REF!</v>
      </c>
      <c r="AB58" s="310" t="e">
        <f>+'Zał.1_WPF_bazowy'!#REF!</f>
        <v>#REF!</v>
      </c>
      <c r="AC58" s="310" t="e">
        <f>+'Zał.1_WPF_bazowy'!#REF!</f>
        <v>#REF!</v>
      </c>
      <c r="AD58" s="310" t="e">
        <f>+'Zał.1_WPF_bazowy'!#REF!</f>
        <v>#REF!</v>
      </c>
      <c r="AE58" s="310" t="e">
        <f>+'Zał.1_WPF_bazowy'!#REF!</f>
        <v>#REF!</v>
      </c>
      <c r="AF58" s="310" t="e">
        <f>+'Zał.1_WPF_bazowy'!#REF!</f>
        <v>#REF!</v>
      </c>
      <c r="AG58" s="310" t="e">
        <f>+'Zał.1_WPF_bazowy'!#REF!</f>
        <v>#REF!</v>
      </c>
      <c r="AH58" s="310" t="e">
        <f>+'Zał.1_WPF_bazowy'!#REF!</f>
        <v>#REF!</v>
      </c>
      <c r="AI58" s="310" t="e">
        <f>+'Zał.1_WPF_bazowy'!#REF!</f>
        <v>#REF!</v>
      </c>
      <c r="AJ58" s="310" t="e">
        <f>+'Zał.1_WPF_bazowy'!#REF!</f>
        <v>#REF!</v>
      </c>
      <c r="AK58" s="310" t="e">
        <f>+'Zał.1_WPF_bazowy'!#REF!</f>
        <v>#REF!</v>
      </c>
      <c r="AL58" s="311" t="e">
        <f>+'Zał.1_WPF_bazowy'!#REF!</f>
        <v>#REF!</v>
      </c>
    </row>
    <row r="59" spans="1:38" ht="36" outlineLevel="2">
      <c r="A59" s="374" t="s">
        <v>31</v>
      </c>
      <c r="B59" s="46" t="s">
        <v>186</v>
      </c>
      <c r="C59" s="257" t="s">
        <v>415</v>
      </c>
      <c r="D59" s="354" t="s">
        <v>239</v>
      </c>
      <c r="E59" s="250">
        <f>'Zał.1_WPF_bazowy'!E59</f>
        <v>0.0407</v>
      </c>
      <c r="F59" s="251">
        <f>'Zał.1_WPF_bazowy'!F59</f>
        <v>0.0536</v>
      </c>
      <c r="G59" s="251">
        <f>'Zał.1_WPF_bazowy'!G59</f>
        <v>0.2008</v>
      </c>
      <c r="H59" s="162">
        <f>+IF(H10&lt;&gt;0,(H23+H27+H40+H58-H41)/H10,"-")</f>
        <v>0.054136812891784736</v>
      </c>
      <c r="I59" s="160">
        <f>+IF(I10&lt;&gt;0,(I23+I27+I40+I58-I41)/I10,"-")</f>
        <v>0.058574988757707426</v>
      </c>
      <c r="J59" s="161">
        <f aca="true" t="shared" si="14" ref="J59:AL59">+IF(J10&lt;&gt;0,(J23+J27+J40+J58-J41)/J10,"-")</f>
        <v>0.06257592866917934</v>
      </c>
      <c r="K59" s="161">
        <f t="shared" si="14"/>
        <v>0.05739715906382573</v>
      </c>
      <c r="L59" s="161">
        <f t="shared" si="14"/>
        <v>0.05995821256038647</v>
      </c>
      <c r="M59" s="161">
        <f t="shared" si="14"/>
        <v>0.056344366197183096</v>
      </c>
      <c r="N59" s="161">
        <f t="shared" si="14"/>
        <v>0.05066278538812785</v>
      </c>
      <c r="O59" s="161">
        <f t="shared" si="14"/>
        <v>0.04344671111111111</v>
      </c>
      <c r="P59" s="161">
        <f t="shared" si="14"/>
        <v>0.03237178260869565</v>
      </c>
      <c r="Q59" s="161">
        <f t="shared" si="14"/>
        <v>0.036085350264189534</v>
      </c>
      <c r="R59" s="161">
        <f t="shared" si="14"/>
        <v>0.033707273258971465</v>
      </c>
      <c r="S59" s="161">
        <f t="shared" si="14"/>
        <v>0.02950733125819135</v>
      </c>
      <c r="T59" s="161">
        <f t="shared" si="14"/>
        <v>0.01896987951807229</v>
      </c>
      <c r="U59" s="161" t="e">
        <f t="shared" si="14"/>
        <v>#REF!</v>
      </c>
      <c r="V59" s="161" t="e">
        <f t="shared" si="14"/>
        <v>#REF!</v>
      </c>
      <c r="W59" s="161" t="e">
        <f t="shared" si="14"/>
        <v>#REF!</v>
      </c>
      <c r="X59" s="161" t="e">
        <f t="shared" si="14"/>
        <v>#REF!</v>
      </c>
      <c r="Y59" s="161" t="e">
        <f t="shared" si="14"/>
        <v>#REF!</v>
      </c>
      <c r="Z59" s="161" t="e">
        <f t="shared" si="14"/>
        <v>#REF!</v>
      </c>
      <c r="AA59" s="161" t="e">
        <f t="shared" si="14"/>
        <v>#REF!</v>
      </c>
      <c r="AB59" s="161" t="e">
        <f t="shared" si="14"/>
        <v>#REF!</v>
      </c>
      <c r="AC59" s="161" t="e">
        <f t="shared" si="14"/>
        <v>#REF!</v>
      </c>
      <c r="AD59" s="161" t="e">
        <f t="shared" si="14"/>
        <v>#REF!</v>
      </c>
      <c r="AE59" s="161" t="e">
        <f t="shared" si="14"/>
        <v>#REF!</v>
      </c>
      <c r="AF59" s="161" t="e">
        <f t="shared" si="14"/>
        <v>#REF!</v>
      </c>
      <c r="AG59" s="161" t="e">
        <f t="shared" si="14"/>
        <v>#REF!</v>
      </c>
      <c r="AH59" s="161" t="e">
        <f t="shared" si="14"/>
        <v>#REF!</v>
      </c>
      <c r="AI59" s="161" t="e">
        <f t="shared" si="14"/>
        <v>#REF!</v>
      </c>
      <c r="AJ59" s="161" t="e">
        <f t="shared" si="14"/>
        <v>#REF!</v>
      </c>
      <c r="AK59" s="161" t="e">
        <f t="shared" si="14"/>
        <v>#REF!</v>
      </c>
      <c r="AL59" s="162" t="e">
        <f t="shared" si="14"/>
        <v>#REF!</v>
      </c>
    </row>
    <row r="60" spans="1:38" ht="14.25" outlineLevel="3">
      <c r="A60" s="374" t="s">
        <v>31</v>
      </c>
      <c r="B60" s="143" t="s">
        <v>103</v>
      </c>
      <c r="C60" s="257" t="s">
        <v>416</v>
      </c>
      <c r="D60" s="369" t="s">
        <v>445</v>
      </c>
      <c r="E60" s="301">
        <f>+IF(E10&lt;&gt;0,(E11+E19-E22)/E10,0)</f>
        <v>0.11835289681044488</v>
      </c>
      <c r="F60" s="161">
        <f>+IF(F10&lt;&gt;0,(F11+F19-F22)/F10,0)</f>
        <v>0.17384219246737212</v>
      </c>
      <c r="G60" s="161">
        <f>+IF(G10&lt;&gt;0,(G11+G19-G22)/G10,0)</f>
        <v>0.11029587997477454</v>
      </c>
      <c r="H60" s="162">
        <f>+IF(H10&lt;&gt;0,(H11+H19-H22)/H10,0)</f>
        <v>0.12748031397648724</v>
      </c>
      <c r="I60" s="160">
        <f>+IF(I10&lt;&gt;0,(I11+I19-I22)/I10,"-")</f>
        <v>0.07372325672893064</v>
      </c>
      <c r="J60" s="161">
        <f aca="true" t="shared" si="15" ref="J60:AL60">+IF(J10&lt;&gt;0,(J11+J19-J22)/J10,"-")</f>
        <v>0.06262177239396687</v>
      </c>
      <c r="K60" s="161">
        <f t="shared" si="15"/>
        <v>0.07493326659993327</v>
      </c>
      <c r="L60" s="161">
        <f t="shared" si="15"/>
        <v>0.07241545893719807</v>
      </c>
      <c r="M60" s="161">
        <f t="shared" si="15"/>
        <v>0.08309859154929577</v>
      </c>
      <c r="N60" s="161">
        <f t="shared" si="15"/>
        <v>0.09205479452054795</v>
      </c>
      <c r="O60" s="161">
        <f t="shared" si="15"/>
        <v>0.10013333333333334</v>
      </c>
      <c r="P60" s="161">
        <f t="shared" si="15"/>
        <v>0.10434782608695652</v>
      </c>
      <c r="Q60" s="161">
        <f t="shared" si="15"/>
        <v>0.11458155786603035</v>
      </c>
      <c r="R60" s="161">
        <f t="shared" si="15"/>
        <v>0.12461879099302335</v>
      </c>
      <c r="S60" s="161">
        <f t="shared" si="15"/>
        <v>0.1343381389252949</v>
      </c>
      <c r="T60" s="161">
        <f t="shared" si="15"/>
        <v>0.14353413654618474</v>
      </c>
      <c r="U60" s="161" t="e">
        <f t="shared" si="15"/>
        <v>#REF!</v>
      </c>
      <c r="V60" s="161" t="e">
        <f t="shared" si="15"/>
        <v>#REF!</v>
      </c>
      <c r="W60" s="161" t="e">
        <f t="shared" si="15"/>
        <v>#REF!</v>
      </c>
      <c r="X60" s="161" t="e">
        <f t="shared" si="15"/>
        <v>#REF!</v>
      </c>
      <c r="Y60" s="161" t="e">
        <f t="shared" si="15"/>
        <v>#REF!</v>
      </c>
      <c r="Z60" s="161" t="e">
        <f t="shared" si="15"/>
        <v>#REF!</v>
      </c>
      <c r="AA60" s="161" t="e">
        <f t="shared" si="15"/>
        <v>#REF!</v>
      </c>
      <c r="AB60" s="161" t="e">
        <f t="shared" si="15"/>
        <v>#REF!</v>
      </c>
      <c r="AC60" s="161" t="e">
        <f t="shared" si="15"/>
        <v>#REF!</v>
      </c>
      <c r="AD60" s="161" t="e">
        <f t="shared" si="15"/>
        <v>#REF!</v>
      </c>
      <c r="AE60" s="161" t="e">
        <f t="shared" si="15"/>
        <v>#REF!</v>
      </c>
      <c r="AF60" s="161" t="e">
        <f t="shared" si="15"/>
        <v>#REF!</v>
      </c>
      <c r="AG60" s="161" t="e">
        <f t="shared" si="15"/>
        <v>#REF!</v>
      </c>
      <c r="AH60" s="161" t="e">
        <f t="shared" si="15"/>
        <v>#REF!</v>
      </c>
      <c r="AI60" s="161" t="e">
        <f t="shared" si="15"/>
        <v>#REF!</v>
      </c>
      <c r="AJ60" s="161" t="e">
        <f t="shared" si="15"/>
        <v>#REF!</v>
      </c>
      <c r="AK60" s="161" t="e">
        <f t="shared" si="15"/>
        <v>#REF!</v>
      </c>
      <c r="AL60" s="162" t="e">
        <f t="shared" si="15"/>
        <v>#REF!</v>
      </c>
    </row>
    <row r="61" spans="1:38" ht="36" outlineLevel="2">
      <c r="A61" s="374" t="s">
        <v>31</v>
      </c>
      <c r="B61" s="46" t="s">
        <v>187</v>
      </c>
      <c r="C61" s="257" t="s">
        <v>417</v>
      </c>
      <c r="D61" s="354" t="s">
        <v>459</v>
      </c>
      <c r="E61" s="419" t="str">
        <f>'Zał.1_WPF_bazowy'!E61</f>
        <v>x</v>
      </c>
      <c r="F61" s="420" t="str">
        <f>'Zał.1_WPF_bazowy'!F61</f>
        <v>x</v>
      </c>
      <c r="G61" s="420" t="str">
        <f>'Zał.1_WPF_bazowy'!G61</f>
        <v>x</v>
      </c>
      <c r="H61" s="421" t="str">
        <f>'Zał.1_WPF_bazowy'!H61</f>
        <v>x</v>
      </c>
      <c r="I61" s="160">
        <f>+IF(I10&lt;&gt;0,(G60+F60+E60)/3,"-")</f>
        <v>0.1341636564175305</v>
      </c>
      <c r="J61" s="161">
        <f>+IF(J10&lt;&gt;0,(I60+G60+F60)/3,"-")</f>
        <v>0.11928710972369243</v>
      </c>
      <c r="K61" s="161">
        <f>+IF(K10&lt;&gt;0,(J60+I60+G60)/3,"-")</f>
        <v>0.08221363636589069</v>
      </c>
      <c r="L61" s="161">
        <f>+IF(L10&lt;&gt;0,(K60+J60+I60)/3,"-")</f>
        <v>0.07042609857427694</v>
      </c>
      <c r="M61" s="161">
        <f aca="true" t="shared" si="16" ref="M61:AL61">+IF(M10&lt;&gt;0,(L60+K60+J60)/3,"-")</f>
        <v>0.06999016597703274</v>
      </c>
      <c r="N61" s="161">
        <f t="shared" si="16"/>
        <v>0.07681577236214238</v>
      </c>
      <c r="O61" s="161">
        <f t="shared" si="16"/>
        <v>0.0825229483356806</v>
      </c>
      <c r="P61" s="161">
        <f t="shared" si="16"/>
        <v>0.09176223980105902</v>
      </c>
      <c r="Q61" s="161">
        <f t="shared" si="16"/>
        <v>0.09884531798027928</v>
      </c>
      <c r="R61" s="161">
        <f t="shared" si="16"/>
        <v>0.10635423909544006</v>
      </c>
      <c r="S61" s="161">
        <f t="shared" si="16"/>
        <v>0.11451605831533673</v>
      </c>
      <c r="T61" s="161">
        <f t="shared" si="16"/>
        <v>0.12451282926144953</v>
      </c>
      <c r="U61" s="161" t="e">
        <f t="shared" si="16"/>
        <v>#REF!</v>
      </c>
      <c r="V61" s="161" t="e">
        <f t="shared" si="16"/>
        <v>#REF!</v>
      </c>
      <c r="W61" s="161" t="e">
        <f t="shared" si="16"/>
        <v>#REF!</v>
      </c>
      <c r="X61" s="161" t="e">
        <f t="shared" si="16"/>
        <v>#REF!</v>
      </c>
      <c r="Y61" s="161" t="e">
        <f t="shared" si="16"/>
        <v>#REF!</v>
      </c>
      <c r="Z61" s="161" t="e">
        <f t="shared" si="16"/>
        <v>#REF!</v>
      </c>
      <c r="AA61" s="161" t="e">
        <f t="shared" si="16"/>
        <v>#REF!</v>
      </c>
      <c r="AB61" s="161" t="e">
        <f t="shared" si="16"/>
        <v>#REF!</v>
      </c>
      <c r="AC61" s="161" t="e">
        <f t="shared" si="16"/>
        <v>#REF!</v>
      </c>
      <c r="AD61" s="161" t="e">
        <f t="shared" si="16"/>
        <v>#REF!</v>
      </c>
      <c r="AE61" s="161" t="e">
        <f t="shared" si="16"/>
        <v>#REF!</v>
      </c>
      <c r="AF61" s="161" t="e">
        <f t="shared" si="16"/>
        <v>#REF!</v>
      </c>
      <c r="AG61" s="161" t="e">
        <f t="shared" si="16"/>
        <v>#REF!</v>
      </c>
      <c r="AH61" s="161" t="e">
        <f t="shared" si="16"/>
        <v>#REF!</v>
      </c>
      <c r="AI61" s="161" t="e">
        <f t="shared" si="16"/>
        <v>#REF!</v>
      </c>
      <c r="AJ61" s="161" t="e">
        <f t="shared" si="16"/>
        <v>#REF!</v>
      </c>
      <c r="AK61" s="161" t="e">
        <f t="shared" si="16"/>
        <v>#REF!</v>
      </c>
      <c r="AL61" s="162" t="e">
        <f t="shared" si="16"/>
        <v>#REF!</v>
      </c>
    </row>
    <row r="62" spans="1:38" ht="36" outlineLevel="2">
      <c r="A62" s="374" t="s">
        <v>31</v>
      </c>
      <c r="B62" s="46" t="s">
        <v>106</v>
      </c>
      <c r="C62" s="257" t="s">
        <v>417</v>
      </c>
      <c r="D62" s="355" t="s">
        <v>460</v>
      </c>
      <c r="E62" s="419" t="str">
        <f>'Zał.1_WPF_bazowy'!E62</f>
        <v>x</v>
      </c>
      <c r="F62" s="420" t="str">
        <f>'Zał.1_WPF_bazowy'!F62</f>
        <v>x</v>
      </c>
      <c r="G62" s="420" t="str">
        <f>'Zał.1_WPF_bazowy'!G62</f>
        <v>x</v>
      </c>
      <c r="H62" s="421" t="str">
        <f>'Zał.1_WPF_bazowy'!H62</f>
        <v>x</v>
      </c>
      <c r="I62" s="160">
        <f>+IF(I10&lt;&gt;0,(H60+F60+E60)/3,"-")</f>
        <v>0.1398918010847681</v>
      </c>
      <c r="J62" s="161">
        <f>+IF(J10&lt;&gt;0,(I60+H60+F60)/3,"-")</f>
        <v>0.12501525439093</v>
      </c>
      <c r="K62" s="161">
        <f>+IF(K10&lt;&gt;0,(J60+I60+H60)/3,"-")</f>
        <v>0.08794178103312826</v>
      </c>
      <c r="L62" s="161">
        <f>+IF(L10&lt;&gt;0,(K60+J60+I60)/3,"-")</f>
        <v>0.07042609857427694</v>
      </c>
      <c r="M62" s="161">
        <f aca="true" t="shared" si="17" ref="M62:AL62">+IF(M10&lt;&gt;0,(L60+K60+J60)/3,"-")</f>
        <v>0.06999016597703274</v>
      </c>
      <c r="N62" s="161">
        <f t="shared" si="17"/>
        <v>0.07681577236214238</v>
      </c>
      <c r="O62" s="161">
        <f t="shared" si="17"/>
        <v>0.0825229483356806</v>
      </c>
      <c r="P62" s="161">
        <f t="shared" si="17"/>
        <v>0.09176223980105902</v>
      </c>
      <c r="Q62" s="161">
        <f t="shared" si="17"/>
        <v>0.09884531798027928</v>
      </c>
      <c r="R62" s="161">
        <f t="shared" si="17"/>
        <v>0.10635423909544006</v>
      </c>
      <c r="S62" s="161">
        <f t="shared" si="17"/>
        <v>0.11451605831533673</v>
      </c>
      <c r="T62" s="161">
        <f t="shared" si="17"/>
        <v>0.12451282926144953</v>
      </c>
      <c r="U62" s="161" t="e">
        <f t="shared" si="17"/>
        <v>#REF!</v>
      </c>
      <c r="V62" s="161" t="e">
        <f t="shared" si="17"/>
        <v>#REF!</v>
      </c>
      <c r="W62" s="161" t="e">
        <f t="shared" si="17"/>
        <v>#REF!</v>
      </c>
      <c r="X62" s="161" t="e">
        <f t="shared" si="17"/>
        <v>#REF!</v>
      </c>
      <c r="Y62" s="161" t="e">
        <f t="shared" si="17"/>
        <v>#REF!</v>
      </c>
      <c r="Z62" s="161" t="e">
        <f t="shared" si="17"/>
        <v>#REF!</v>
      </c>
      <c r="AA62" s="161" t="e">
        <f t="shared" si="17"/>
        <v>#REF!</v>
      </c>
      <c r="AB62" s="161" t="e">
        <f t="shared" si="17"/>
        <v>#REF!</v>
      </c>
      <c r="AC62" s="161" t="e">
        <f t="shared" si="17"/>
        <v>#REF!</v>
      </c>
      <c r="AD62" s="161" t="e">
        <f t="shared" si="17"/>
        <v>#REF!</v>
      </c>
      <c r="AE62" s="161" t="e">
        <f t="shared" si="17"/>
        <v>#REF!</v>
      </c>
      <c r="AF62" s="161" t="e">
        <f t="shared" si="17"/>
        <v>#REF!</v>
      </c>
      <c r="AG62" s="161" t="e">
        <f t="shared" si="17"/>
        <v>#REF!</v>
      </c>
      <c r="AH62" s="161" t="e">
        <f t="shared" si="17"/>
        <v>#REF!</v>
      </c>
      <c r="AI62" s="161" t="e">
        <f t="shared" si="17"/>
        <v>#REF!</v>
      </c>
      <c r="AJ62" s="161" t="e">
        <f t="shared" si="17"/>
        <v>#REF!</v>
      </c>
      <c r="AK62" s="161" t="e">
        <f t="shared" si="17"/>
        <v>#REF!</v>
      </c>
      <c r="AL62" s="162" t="e">
        <f t="shared" si="17"/>
        <v>#REF!</v>
      </c>
    </row>
    <row r="63" spans="1:38" ht="48" outlineLevel="2">
      <c r="A63" s="374" t="s">
        <v>31</v>
      </c>
      <c r="B63" s="46" t="s">
        <v>188</v>
      </c>
      <c r="C63" s="257" t="s">
        <v>418</v>
      </c>
      <c r="D63" s="354" t="s">
        <v>241</v>
      </c>
      <c r="E63" s="419" t="str">
        <f>'Zał.1_WPF_bazowy'!E63</f>
        <v>x</v>
      </c>
      <c r="F63" s="420" t="str">
        <f>'Zał.1_WPF_bazowy'!F63</f>
        <v>x</v>
      </c>
      <c r="G63" s="420" t="str">
        <f>'Zał.1_WPF_bazowy'!G63</f>
        <v>x</v>
      </c>
      <c r="H63" s="421" t="str">
        <f>'Zał.1_WPF_bazowy'!H63</f>
        <v>x</v>
      </c>
      <c r="I63" s="166" t="str">
        <f aca="true" t="shared" si="18" ref="I63:AL63">+IF(I10&lt;&gt;0,IF(I61&gt;=I59,"Spełniona","Nie spełniona"),"-")</f>
        <v>Spełniona</v>
      </c>
      <c r="J63" s="166" t="str">
        <f t="shared" si="18"/>
        <v>Spełniona</v>
      </c>
      <c r="K63" s="166" t="str">
        <f t="shared" si="18"/>
        <v>Spełniona</v>
      </c>
      <c r="L63" s="166" t="str">
        <f t="shared" si="18"/>
        <v>Spełniona</v>
      </c>
      <c r="M63" s="166" t="str">
        <f t="shared" si="18"/>
        <v>Spełniona</v>
      </c>
      <c r="N63" s="166" t="str">
        <f t="shared" si="18"/>
        <v>Spełniona</v>
      </c>
      <c r="O63" s="166" t="str">
        <f t="shared" si="18"/>
        <v>Spełniona</v>
      </c>
      <c r="P63" s="166" t="str">
        <f t="shared" si="18"/>
        <v>Spełniona</v>
      </c>
      <c r="Q63" s="166" t="str">
        <f t="shared" si="18"/>
        <v>Spełniona</v>
      </c>
      <c r="R63" s="166" t="str">
        <f t="shared" si="18"/>
        <v>Spełniona</v>
      </c>
      <c r="S63" s="166" t="str">
        <f t="shared" si="18"/>
        <v>Spełniona</v>
      </c>
      <c r="T63" s="166" t="str">
        <f t="shared" si="18"/>
        <v>Spełniona</v>
      </c>
      <c r="U63" s="166" t="e">
        <f t="shared" si="18"/>
        <v>#REF!</v>
      </c>
      <c r="V63" s="166" t="e">
        <f t="shared" si="18"/>
        <v>#REF!</v>
      </c>
      <c r="W63" s="166" t="e">
        <f t="shared" si="18"/>
        <v>#REF!</v>
      </c>
      <c r="X63" s="166" t="e">
        <f t="shared" si="18"/>
        <v>#REF!</v>
      </c>
      <c r="Y63" s="166" t="e">
        <f t="shared" si="18"/>
        <v>#REF!</v>
      </c>
      <c r="Z63" s="166" t="e">
        <f t="shared" si="18"/>
        <v>#REF!</v>
      </c>
      <c r="AA63" s="166" t="e">
        <f t="shared" si="18"/>
        <v>#REF!</v>
      </c>
      <c r="AB63" s="166" t="e">
        <f t="shared" si="18"/>
        <v>#REF!</v>
      </c>
      <c r="AC63" s="166" t="e">
        <f t="shared" si="18"/>
        <v>#REF!</v>
      </c>
      <c r="AD63" s="166" t="e">
        <f t="shared" si="18"/>
        <v>#REF!</v>
      </c>
      <c r="AE63" s="166" t="e">
        <f t="shared" si="18"/>
        <v>#REF!</v>
      </c>
      <c r="AF63" s="166" t="e">
        <f t="shared" si="18"/>
        <v>#REF!</v>
      </c>
      <c r="AG63" s="166" t="e">
        <f t="shared" si="18"/>
        <v>#REF!</v>
      </c>
      <c r="AH63" s="166" t="e">
        <f t="shared" si="18"/>
        <v>#REF!</v>
      </c>
      <c r="AI63" s="166" t="e">
        <f t="shared" si="18"/>
        <v>#REF!</v>
      </c>
      <c r="AJ63" s="166" t="e">
        <f t="shared" si="18"/>
        <v>#REF!</v>
      </c>
      <c r="AK63" s="166" t="e">
        <f t="shared" si="18"/>
        <v>#REF!</v>
      </c>
      <c r="AL63" s="167" t="e">
        <f t="shared" si="18"/>
        <v>#REF!</v>
      </c>
    </row>
    <row r="64" spans="1:38" ht="48" outlineLevel="2">
      <c r="A64" s="374" t="s">
        <v>31</v>
      </c>
      <c r="B64" s="46" t="s">
        <v>109</v>
      </c>
      <c r="C64" s="257" t="s">
        <v>419</v>
      </c>
      <c r="D64" s="355" t="s">
        <v>240</v>
      </c>
      <c r="E64" s="419" t="str">
        <f>'Zał.1_WPF_bazowy'!E64</f>
        <v>x</v>
      </c>
      <c r="F64" s="420" t="str">
        <f>'Zał.1_WPF_bazowy'!F64</f>
        <v>x</v>
      </c>
      <c r="G64" s="420" t="str">
        <f>'Zał.1_WPF_bazowy'!G64</f>
        <v>x</v>
      </c>
      <c r="H64" s="421" t="str">
        <f>'Zał.1_WPF_bazowy'!H64</f>
        <v>x</v>
      </c>
      <c r="I64" s="166" t="str">
        <f aca="true" t="shared" si="19" ref="I64:AL64">+IF(I10&lt;&gt;0,IF(I62&gt;=I59,"Spełniona","Nie spełniona"),"-")</f>
        <v>Spełniona</v>
      </c>
      <c r="J64" s="166" t="str">
        <f t="shared" si="19"/>
        <v>Spełniona</v>
      </c>
      <c r="K64" s="166" t="str">
        <f t="shared" si="19"/>
        <v>Spełniona</v>
      </c>
      <c r="L64" s="166" t="str">
        <f t="shared" si="19"/>
        <v>Spełniona</v>
      </c>
      <c r="M64" s="166" t="str">
        <f t="shared" si="19"/>
        <v>Spełniona</v>
      </c>
      <c r="N64" s="166" t="str">
        <f t="shared" si="19"/>
        <v>Spełniona</v>
      </c>
      <c r="O64" s="166" t="str">
        <f t="shared" si="19"/>
        <v>Spełniona</v>
      </c>
      <c r="P64" s="166" t="str">
        <f t="shared" si="19"/>
        <v>Spełniona</v>
      </c>
      <c r="Q64" s="166" t="str">
        <f t="shared" si="19"/>
        <v>Spełniona</v>
      </c>
      <c r="R64" s="166" t="str">
        <f t="shared" si="19"/>
        <v>Spełniona</v>
      </c>
      <c r="S64" s="166" t="str">
        <f t="shared" si="19"/>
        <v>Spełniona</v>
      </c>
      <c r="T64" s="166" t="str">
        <f t="shared" si="19"/>
        <v>Spełniona</v>
      </c>
      <c r="U64" s="166" t="e">
        <f t="shared" si="19"/>
        <v>#REF!</v>
      </c>
      <c r="V64" s="166" t="e">
        <f t="shared" si="19"/>
        <v>#REF!</v>
      </c>
      <c r="W64" s="166" t="e">
        <f t="shared" si="19"/>
        <v>#REF!</v>
      </c>
      <c r="X64" s="166" t="e">
        <f t="shared" si="19"/>
        <v>#REF!</v>
      </c>
      <c r="Y64" s="166" t="e">
        <f t="shared" si="19"/>
        <v>#REF!</v>
      </c>
      <c r="Z64" s="166" t="e">
        <f t="shared" si="19"/>
        <v>#REF!</v>
      </c>
      <c r="AA64" s="166" t="e">
        <f t="shared" si="19"/>
        <v>#REF!</v>
      </c>
      <c r="AB64" s="166" t="e">
        <f t="shared" si="19"/>
        <v>#REF!</v>
      </c>
      <c r="AC64" s="166" t="e">
        <f t="shared" si="19"/>
        <v>#REF!</v>
      </c>
      <c r="AD64" s="166" t="e">
        <f t="shared" si="19"/>
        <v>#REF!</v>
      </c>
      <c r="AE64" s="166" t="e">
        <f t="shared" si="19"/>
        <v>#REF!</v>
      </c>
      <c r="AF64" s="166" t="e">
        <f t="shared" si="19"/>
        <v>#REF!</v>
      </c>
      <c r="AG64" s="166" t="e">
        <f t="shared" si="19"/>
        <v>#REF!</v>
      </c>
      <c r="AH64" s="166" t="e">
        <f t="shared" si="19"/>
        <v>#REF!</v>
      </c>
      <c r="AI64" s="166" t="e">
        <f t="shared" si="19"/>
        <v>#REF!</v>
      </c>
      <c r="AJ64" s="166" t="e">
        <f t="shared" si="19"/>
        <v>#REF!</v>
      </c>
      <c r="AK64" s="166" t="e">
        <f t="shared" si="19"/>
        <v>#REF!</v>
      </c>
      <c r="AL64" s="167" t="e">
        <f t="shared" si="19"/>
        <v>#REF!</v>
      </c>
    </row>
    <row r="65" spans="1:38" s="142" customFormat="1" ht="15" outlineLevel="1">
      <c r="A65" s="374"/>
      <c r="B65" s="45">
        <v>10</v>
      </c>
      <c r="C65" s="256"/>
      <c r="D65" s="352" t="s">
        <v>242</v>
      </c>
      <c r="E65" s="244">
        <f>'Zał.1_WPF_bazowy'!E65</f>
        <v>0</v>
      </c>
      <c r="F65" s="245">
        <f>'Zał.1_WPF_bazowy'!F65</f>
        <v>0</v>
      </c>
      <c r="G65" s="245">
        <f>'Zał.1_WPF_bazowy'!G65</f>
        <v>0</v>
      </c>
      <c r="H65" s="313">
        <f>'Zał.1_WPF_bazowy'!H65</f>
        <v>0</v>
      </c>
      <c r="I65" s="317">
        <f>+'Zał.1_WPF_bazowy'!I65</f>
        <v>338258</v>
      </c>
      <c r="J65" s="318">
        <f>+'Zał.1_WPF_bazowy'!J65</f>
        <v>35035</v>
      </c>
      <c r="K65" s="318">
        <f>+'Zał.1_WPF_bazowy'!K65</f>
        <v>374035</v>
      </c>
      <c r="L65" s="318">
        <f>+'Zał.1_WPF_bazowy'!L65</f>
        <v>915135</v>
      </c>
      <c r="M65" s="318">
        <f>+'Zał.1_WPF_bazowy'!M65</f>
        <v>915135</v>
      </c>
      <c r="N65" s="318">
        <f>+'Zał.1_WPF_bazowy'!N65</f>
        <v>865515</v>
      </c>
      <c r="O65" s="318">
        <f>+'Zał.1_WPF_bazowy'!O65</f>
        <v>775551</v>
      </c>
      <c r="P65" s="318">
        <f>+'Zał.1_WPF_bazowy'!P65</f>
        <v>581551</v>
      </c>
      <c r="Q65" s="318">
        <f>+'Zał.1_WPF_bazowy'!Q65</f>
        <v>716851</v>
      </c>
      <c r="R65" s="318">
        <f>+'Zał.1_WPF_bazowy'!R65</f>
        <v>716851</v>
      </c>
      <c r="S65" s="318">
        <f>+'Zał.1_WPF_bazowy'!S65</f>
        <v>669451</v>
      </c>
      <c r="T65" s="318">
        <f>+'Zał.1_WPF_bazowy'!T65</f>
        <v>454350</v>
      </c>
      <c r="U65" s="318" t="e">
        <f>+'Zał.1_WPF_bazowy'!#REF!</f>
        <v>#REF!</v>
      </c>
      <c r="V65" s="318" t="e">
        <f>+'Zał.1_WPF_bazowy'!#REF!</f>
        <v>#REF!</v>
      </c>
      <c r="W65" s="318" t="e">
        <f>+'Zał.1_WPF_bazowy'!#REF!</f>
        <v>#REF!</v>
      </c>
      <c r="X65" s="318" t="e">
        <f>+'Zał.1_WPF_bazowy'!#REF!</f>
        <v>#REF!</v>
      </c>
      <c r="Y65" s="318" t="e">
        <f>+'Zał.1_WPF_bazowy'!#REF!</f>
        <v>#REF!</v>
      </c>
      <c r="Z65" s="318" t="e">
        <f>+'Zał.1_WPF_bazowy'!#REF!</f>
        <v>#REF!</v>
      </c>
      <c r="AA65" s="318" t="e">
        <f>+'Zał.1_WPF_bazowy'!#REF!</f>
        <v>#REF!</v>
      </c>
      <c r="AB65" s="318" t="e">
        <f>+'Zał.1_WPF_bazowy'!#REF!</f>
        <v>#REF!</v>
      </c>
      <c r="AC65" s="318" t="e">
        <f>+'Zał.1_WPF_bazowy'!#REF!</f>
        <v>#REF!</v>
      </c>
      <c r="AD65" s="318" t="e">
        <f>+'Zał.1_WPF_bazowy'!#REF!</f>
        <v>#REF!</v>
      </c>
      <c r="AE65" s="318" t="e">
        <f>+'Zał.1_WPF_bazowy'!#REF!</f>
        <v>#REF!</v>
      </c>
      <c r="AF65" s="318" t="e">
        <f>+'Zał.1_WPF_bazowy'!#REF!</f>
        <v>#REF!</v>
      </c>
      <c r="AG65" s="318" t="e">
        <f>+'Zał.1_WPF_bazowy'!#REF!</f>
        <v>#REF!</v>
      </c>
      <c r="AH65" s="318" t="e">
        <f>+'Zał.1_WPF_bazowy'!#REF!</f>
        <v>#REF!</v>
      </c>
      <c r="AI65" s="318" t="e">
        <f>+'Zał.1_WPF_bazowy'!#REF!</f>
        <v>#REF!</v>
      </c>
      <c r="AJ65" s="318" t="e">
        <f>+'Zał.1_WPF_bazowy'!#REF!</f>
        <v>#REF!</v>
      </c>
      <c r="AK65" s="318" t="e">
        <f>+'Zał.1_WPF_bazowy'!#REF!</f>
        <v>#REF!</v>
      </c>
      <c r="AL65" s="319" t="e">
        <f>+'Zał.1_WPF_bazowy'!#REF!</f>
        <v>#REF!</v>
      </c>
    </row>
    <row r="66" spans="1:253" s="132" customFormat="1" ht="14.25" outlineLevel="2">
      <c r="A66" s="374"/>
      <c r="B66" s="46" t="s">
        <v>189</v>
      </c>
      <c r="C66" s="257"/>
      <c r="D66" s="354" t="s">
        <v>243</v>
      </c>
      <c r="E66" s="246">
        <f>'Zał.1_WPF_bazowy'!E66</f>
        <v>0</v>
      </c>
      <c r="F66" s="247">
        <f>'Zał.1_WPF_bazowy'!F66</f>
        <v>0</v>
      </c>
      <c r="G66" s="247">
        <f>'Zał.1_WPF_bazowy'!G66</f>
        <v>0</v>
      </c>
      <c r="H66" s="308">
        <f>'Zał.1_WPF_bazowy'!H66</f>
        <v>0</v>
      </c>
      <c r="I66" s="309">
        <f>+'Zał.1_WPF_bazowy'!I66</f>
        <v>338258</v>
      </c>
      <c r="J66" s="310">
        <f>+'Zał.1_WPF_bazowy'!J66</f>
        <v>35035</v>
      </c>
      <c r="K66" s="310">
        <f>+'Zał.1_WPF_bazowy'!K66</f>
        <v>374035</v>
      </c>
      <c r="L66" s="310">
        <f>+'Zał.1_WPF_bazowy'!L66</f>
        <v>915135</v>
      </c>
      <c r="M66" s="310">
        <f>+'Zał.1_WPF_bazowy'!M66</f>
        <v>915135</v>
      </c>
      <c r="N66" s="310">
        <f>+'Zał.1_WPF_bazowy'!N66</f>
        <v>865515</v>
      </c>
      <c r="O66" s="310">
        <f>+'Zał.1_WPF_bazowy'!O66</f>
        <v>775551</v>
      </c>
      <c r="P66" s="310">
        <f>+'Zał.1_WPF_bazowy'!P66</f>
        <v>581551</v>
      </c>
      <c r="Q66" s="310">
        <f>+'Zał.1_WPF_bazowy'!Q66</f>
        <v>716851</v>
      </c>
      <c r="R66" s="310">
        <f>+'Zał.1_WPF_bazowy'!R66</f>
        <v>716851</v>
      </c>
      <c r="S66" s="310">
        <f>+'Zał.1_WPF_bazowy'!S66</f>
        <v>669451</v>
      </c>
      <c r="T66" s="310">
        <f>+'Zał.1_WPF_bazowy'!T66</f>
        <v>454350</v>
      </c>
      <c r="U66" s="310" t="e">
        <f>+'Zał.1_WPF_bazowy'!#REF!</f>
        <v>#REF!</v>
      </c>
      <c r="V66" s="310" t="e">
        <f>+'Zał.1_WPF_bazowy'!#REF!</f>
        <v>#REF!</v>
      </c>
      <c r="W66" s="310" t="e">
        <f>+'Zał.1_WPF_bazowy'!#REF!</f>
        <v>#REF!</v>
      </c>
      <c r="X66" s="310" t="e">
        <f>+'Zał.1_WPF_bazowy'!#REF!</f>
        <v>#REF!</v>
      </c>
      <c r="Y66" s="310" t="e">
        <f>+'Zał.1_WPF_bazowy'!#REF!</f>
        <v>#REF!</v>
      </c>
      <c r="Z66" s="310" t="e">
        <f>+'Zał.1_WPF_bazowy'!#REF!</f>
        <v>#REF!</v>
      </c>
      <c r="AA66" s="310" t="e">
        <f>+'Zał.1_WPF_bazowy'!#REF!</f>
        <v>#REF!</v>
      </c>
      <c r="AB66" s="310" t="e">
        <f>+'Zał.1_WPF_bazowy'!#REF!</f>
        <v>#REF!</v>
      </c>
      <c r="AC66" s="310" t="e">
        <f>+'Zał.1_WPF_bazowy'!#REF!</f>
        <v>#REF!</v>
      </c>
      <c r="AD66" s="310" t="e">
        <f>+'Zał.1_WPF_bazowy'!#REF!</f>
        <v>#REF!</v>
      </c>
      <c r="AE66" s="310" t="e">
        <f>+'Zał.1_WPF_bazowy'!#REF!</f>
        <v>#REF!</v>
      </c>
      <c r="AF66" s="310" t="e">
        <f>+'Zał.1_WPF_bazowy'!#REF!</f>
        <v>#REF!</v>
      </c>
      <c r="AG66" s="310" t="e">
        <f>+'Zał.1_WPF_bazowy'!#REF!</f>
        <v>#REF!</v>
      </c>
      <c r="AH66" s="310" t="e">
        <f>+'Zał.1_WPF_bazowy'!#REF!</f>
        <v>#REF!</v>
      </c>
      <c r="AI66" s="310" t="e">
        <f>+'Zał.1_WPF_bazowy'!#REF!</f>
        <v>#REF!</v>
      </c>
      <c r="AJ66" s="310" t="e">
        <f>+'Zał.1_WPF_bazowy'!#REF!</f>
        <v>#REF!</v>
      </c>
      <c r="AK66" s="310" t="e">
        <f>+'Zał.1_WPF_bazowy'!#REF!</f>
        <v>#REF!</v>
      </c>
      <c r="AL66" s="311" t="e">
        <f>+'Zał.1_WPF_bazowy'!#REF!</f>
        <v>#REF!</v>
      </c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CK66" s="120"/>
      <c r="CL66" s="120"/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/>
      <c r="DP66" s="120"/>
      <c r="DQ66" s="120"/>
      <c r="DR66" s="120"/>
      <c r="DS66" s="120"/>
      <c r="DT66" s="120"/>
      <c r="DU66" s="120"/>
      <c r="DV66" s="120"/>
      <c r="DW66" s="120"/>
      <c r="DX66" s="120"/>
      <c r="DY66" s="120"/>
      <c r="DZ66" s="120"/>
      <c r="EA66" s="120"/>
      <c r="EB66" s="120"/>
      <c r="EC66" s="120"/>
      <c r="ED66" s="120"/>
      <c r="EE66" s="120"/>
      <c r="EF66" s="120"/>
      <c r="EG66" s="120"/>
      <c r="EH66" s="120"/>
      <c r="EI66" s="120"/>
      <c r="EJ66" s="120"/>
      <c r="EK66" s="120"/>
      <c r="EL66" s="120"/>
      <c r="EM66" s="120"/>
      <c r="EN66" s="120"/>
      <c r="EO66" s="120"/>
      <c r="EP66" s="120"/>
      <c r="EQ66" s="120"/>
      <c r="ER66" s="120"/>
      <c r="ES66" s="120"/>
      <c r="ET66" s="120"/>
      <c r="EU66" s="120"/>
      <c r="EV66" s="120"/>
      <c r="EW66" s="120"/>
      <c r="EX66" s="120"/>
      <c r="EY66" s="120"/>
      <c r="EZ66" s="120"/>
      <c r="FA66" s="120"/>
      <c r="FB66" s="120"/>
      <c r="FC66" s="120"/>
      <c r="FD66" s="120"/>
      <c r="FE66" s="120"/>
      <c r="FF66" s="120"/>
      <c r="FG66" s="120"/>
      <c r="FH66" s="120"/>
      <c r="FI66" s="120"/>
      <c r="FJ66" s="120"/>
      <c r="FK66" s="120"/>
      <c r="FL66" s="120"/>
      <c r="FM66" s="120"/>
      <c r="FN66" s="120"/>
      <c r="FO66" s="120"/>
      <c r="FP66" s="120"/>
      <c r="FQ66" s="120"/>
      <c r="FR66" s="120"/>
      <c r="FS66" s="120"/>
      <c r="FT66" s="120"/>
      <c r="FU66" s="120"/>
      <c r="FV66" s="120"/>
      <c r="FW66" s="120"/>
      <c r="FX66" s="120"/>
      <c r="FY66" s="120"/>
      <c r="FZ66" s="120"/>
      <c r="GA66" s="120"/>
      <c r="GB66" s="120"/>
      <c r="GC66" s="120"/>
      <c r="GD66" s="120"/>
      <c r="GE66" s="120"/>
      <c r="GF66" s="120"/>
      <c r="GG66" s="120"/>
      <c r="GH66" s="120"/>
      <c r="GI66" s="120"/>
      <c r="GJ66" s="120"/>
      <c r="GK66" s="120"/>
      <c r="GL66" s="120"/>
      <c r="GM66" s="120"/>
      <c r="GN66" s="120"/>
      <c r="GO66" s="120"/>
      <c r="GP66" s="120"/>
      <c r="GQ66" s="120"/>
      <c r="GR66" s="120"/>
      <c r="GS66" s="120"/>
      <c r="GT66" s="120"/>
      <c r="GU66" s="120"/>
      <c r="GV66" s="120"/>
      <c r="GW66" s="120"/>
      <c r="GX66" s="120"/>
      <c r="GY66" s="120"/>
      <c r="GZ66" s="120"/>
      <c r="HA66" s="120"/>
      <c r="HB66" s="120"/>
      <c r="HC66" s="120"/>
      <c r="HD66" s="120"/>
      <c r="HE66" s="120"/>
      <c r="HF66" s="120"/>
      <c r="HG66" s="120"/>
      <c r="HH66" s="120"/>
      <c r="HI66" s="120"/>
      <c r="HJ66" s="120"/>
      <c r="HK66" s="120"/>
      <c r="HL66" s="120"/>
      <c r="HM66" s="120"/>
      <c r="HN66" s="120"/>
      <c r="HO66" s="120"/>
      <c r="HP66" s="120"/>
      <c r="HQ66" s="120"/>
      <c r="HR66" s="120"/>
      <c r="HS66" s="120"/>
      <c r="HT66" s="120"/>
      <c r="HU66" s="120"/>
      <c r="HV66" s="120"/>
      <c r="HW66" s="120"/>
      <c r="HX66" s="120"/>
      <c r="HY66" s="120"/>
      <c r="HZ66" s="120"/>
      <c r="IA66" s="120"/>
      <c r="IB66" s="120"/>
      <c r="IC66" s="120"/>
      <c r="ID66" s="120"/>
      <c r="IE66" s="120"/>
      <c r="IF66" s="120"/>
      <c r="IG66" s="120"/>
      <c r="IH66" s="120"/>
      <c r="II66" s="120"/>
      <c r="IJ66" s="120"/>
      <c r="IK66" s="120"/>
      <c r="IL66" s="120"/>
      <c r="IM66" s="120"/>
      <c r="IN66" s="120"/>
      <c r="IO66" s="120"/>
      <c r="IP66" s="120"/>
      <c r="IQ66" s="120"/>
      <c r="IR66" s="120"/>
      <c r="IS66" s="120"/>
    </row>
    <row r="67" spans="1:253" s="147" customFormat="1" ht="15" outlineLevel="1">
      <c r="A67" s="374"/>
      <c r="B67" s="45">
        <v>11</v>
      </c>
      <c r="C67" s="256"/>
      <c r="D67" s="352" t="s">
        <v>113</v>
      </c>
      <c r="E67" s="252" t="s">
        <v>31</v>
      </c>
      <c r="F67" s="253" t="s">
        <v>31</v>
      </c>
      <c r="G67" s="253" t="s">
        <v>31</v>
      </c>
      <c r="H67" s="320" t="s">
        <v>31</v>
      </c>
      <c r="I67" s="321" t="s">
        <v>31</v>
      </c>
      <c r="J67" s="322" t="s">
        <v>31</v>
      </c>
      <c r="K67" s="322" t="s">
        <v>31</v>
      </c>
      <c r="L67" s="322" t="s">
        <v>31</v>
      </c>
      <c r="M67" s="322" t="s">
        <v>31</v>
      </c>
      <c r="N67" s="322" t="s">
        <v>31</v>
      </c>
      <c r="O67" s="322" t="s">
        <v>31</v>
      </c>
      <c r="P67" s="322" t="s">
        <v>31</v>
      </c>
      <c r="Q67" s="322" t="s">
        <v>31</v>
      </c>
      <c r="R67" s="322" t="s">
        <v>31</v>
      </c>
      <c r="S67" s="322" t="s">
        <v>31</v>
      </c>
      <c r="T67" s="322" t="s">
        <v>31</v>
      </c>
      <c r="U67" s="322" t="s">
        <v>31</v>
      </c>
      <c r="V67" s="322" t="s">
        <v>31</v>
      </c>
      <c r="W67" s="322" t="s">
        <v>31</v>
      </c>
      <c r="X67" s="322" t="s">
        <v>31</v>
      </c>
      <c r="Y67" s="322" t="s">
        <v>31</v>
      </c>
      <c r="Z67" s="322" t="s">
        <v>31</v>
      </c>
      <c r="AA67" s="322" t="s">
        <v>31</v>
      </c>
      <c r="AB67" s="322" t="s">
        <v>31</v>
      </c>
      <c r="AC67" s="322" t="s">
        <v>31</v>
      </c>
      <c r="AD67" s="322" t="s">
        <v>31</v>
      </c>
      <c r="AE67" s="322" t="s">
        <v>31</v>
      </c>
      <c r="AF67" s="322" t="s">
        <v>31</v>
      </c>
      <c r="AG67" s="322" t="s">
        <v>31</v>
      </c>
      <c r="AH67" s="322" t="s">
        <v>31</v>
      </c>
      <c r="AI67" s="322" t="s">
        <v>31</v>
      </c>
      <c r="AJ67" s="322" t="s">
        <v>31</v>
      </c>
      <c r="AK67" s="322" t="s">
        <v>31</v>
      </c>
      <c r="AL67" s="323" t="s">
        <v>31</v>
      </c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  <c r="CW67" s="142"/>
      <c r="CX67" s="142"/>
      <c r="CY67" s="142"/>
      <c r="CZ67" s="142"/>
      <c r="DA67" s="142"/>
      <c r="DB67" s="142"/>
      <c r="DC67" s="142"/>
      <c r="DD67" s="142"/>
      <c r="DE67" s="142"/>
      <c r="DF67" s="142"/>
      <c r="DG67" s="142"/>
      <c r="DH67" s="142"/>
      <c r="DI67" s="142"/>
      <c r="DJ67" s="142"/>
      <c r="DK67" s="142"/>
      <c r="DL67" s="142"/>
      <c r="DM67" s="142"/>
      <c r="DN67" s="142"/>
      <c r="DO67" s="142"/>
      <c r="DP67" s="142"/>
      <c r="DQ67" s="142"/>
      <c r="DR67" s="142"/>
      <c r="DS67" s="142"/>
      <c r="DT67" s="142"/>
      <c r="DU67" s="142"/>
      <c r="DV67" s="142"/>
      <c r="DW67" s="142"/>
      <c r="DX67" s="142"/>
      <c r="DY67" s="142"/>
      <c r="DZ67" s="142"/>
      <c r="EA67" s="142"/>
      <c r="EB67" s="142"/>
      <c r="EC67" s="142"/>
      <c r="ED67" s="142"/>
      <c r="EE67" s="142"/>
      <c r="EF67" s="142"/>
      <c r="EG67" s="142"/>
      <c r="EH67" s="142"/>
      <c r="EI67" s="142"/>
      <c r="EJ67" s="142"/>
      <c r="EK67" s="142"/>
      <c r="EL67" s="142"/>
      <c r="EM67" s="142"/>
      <c r="EN67" s="142"/>
      <c r="EO67" s="142"/>
      <c r="EP67" s="142"/>
      <c r="EQ67" s="142"/>
      <c r="ER67" s="142"/>
      <c r="ES67" s="142"/>
      <c r="ET67" s="142"/>
      <c r="EU67" s="142"/>
      <c r="EV67" s="142"/>
      <c r="EW67" s="142"/>
      <c r="EX67" s="142"/>
      <c r="EY67" s="142"/>
      <c r="EZ67" s="142"/>
      <c r="FA67" s="142"/>
      <c r="FB67" s="142"/>
      <c r="FC67" s="142"/>
      <c r="FD67" s="142"/>
      <c r="FE67" s="142"/>
      <c r="FF67" s="142"/>
      <c r="FG67" s="142"/>
      <c r="FH67" s="142"/>
      <c r="FI67" s="142"/>
      <c r="FJ67" s="142"/>
      <c r="FK67" s="142"/>
      <c r="FL67" s="142"/>
      <c r="FM67" s="142"/>
      <c r="FN67" s="142"/>
      <c r="FO67" s="142"/>
      <c r="FP67" s="142"/>
      <c r="FQ67" s="142"/>
      <c r="FR67" s="142"/>
      <c r="FS67" s="142"/>
      <c r="FT67" s="142"/>
      <c r="FU67" s="142"/>
      <c r="FV67" s="142"/>
      <c r="FW67" s="142"/>
      <c r="FX67" s="142"/>
      <c r="FY67" s="142"/>
      <c r="FZ67" s="142"/>
      <c r="GA67" s="142"/>
      <c r="GB67" s="142"/>
      <c r="GC67" s="142"/>
      <c r="GD67" s="142"/>
      <c r="GE67" s="142"/>
      <c r="GF67" s="142"/>
      <c r="GG67" s="142"/>
      <c r="GH67" s="142"/>
      <c r="GI67" s="142"/>
      <c r="GJ67" s="142"/>
      <c r="GK67" s="142"/>
      <c r="GL67" s="142"/>
      <c r="GM67" s="142"/>
      <c r="GN67" s="142"/>
      <c r="GO67" s="142"/>
      <c r="GP67" s="142"/>
      <c r="GQ67" s="142"/>
      <c r="GR67" s="142"/>
      <c r="GS67" s="142"/>
      <c r="GT67" s="142"/>
      <c r="GU67" s="142"/>
      <c r="GV67" s="142"/>
      <c r="GW67" s="142"/>
      <c r="GX67" s="142"/>
      <c r="GY67" s="142"/>
      <c r="GZ67" s="142"/>
      <c r="HA67" s="142"/>
      <c r="HB67" s="142"/>
      <c r="HC67" s="142"/>
      <c r="HD67" s="142"/>
      <c r="HE67" s="142"/>
      <c r="HF67" s="142"/>
      <c r="HG67" s="142"/>
      <c r="HH67" s="142"/>
      <c r="HI67" s="142"/>
      <c r="HJ67" s="142"/>
      <c r="HK67" s="142"/>
      <c r="HL67" s="142"/>
      <c r="HM67" s="142"/>
      <c r="HN67" s="142"/>
      <c r="HO67" s="142"/>
      <c r="HP67" s="142"/>
      <c r="HQ67" s="142"/>
      <c r="HR67" s="142"/>
      <c r="HS67" s="142"/>
      <c r="HT67" s="142"/>
      <c r="HU67" s="142"/>
      <c r="HV67" s="142"/>
      <c r="HW67" s="142"/>
      <c r="HX67" s="142"/>
      <c r="HY67" s="142"/>
      <c r="HZ67" s="142"/>
      <c r="IA67" s="142"/>
      <c r="IB67" s="142"/>
      <c r="IC67" s="142"/>
      <c r="ID67" s="142"/>
      <c r="IE67" s="142"/>
      <c r="IF67" s="142"/>
      <c r="IG67" s="142"/>
      <c r="IH67" s="142"/>
      <c r="II67" s="142"/>
      <c r="IJ67" s="142"/>
      <c r="IK67" s="142"/>
      <c r="IL67" s="142"/>
      <c r="IM67" s="142"/>
      <c r="IN67" s="142"/>
      <c r="IO67" s="142"/>
      <c r="IP67" s="142"/>
      <c r="IQ67" s="142"/>
      <c r="IR67" s="142"/>
      <c r="IS67" s="142"/>
    </row>
    <row r="68" spans="1:38" ht="14.25" outlineLevel="2">
      <c r="A68" s="374"/>
      <c r="B68" s="46" t="s">
        <v>190</v>
      </c>
      <c r="C68" s="257"/>
      <c r="D68" s="354" t="s">
        <v>244</v>
      </c>
      <c r="E68" s="246">
        <f>'Zał.1_WPF_bazowy'!E68</f>
        <v>5900000</v>
      </c>
      <c r="F68" s="247">
        <f>'Zał.1_WPF_bazowy'!F68</f>
        <v>6400000</v>
      </c>
      <c r="G68" s="247">
        <f>'Zał.1_WPF_bazowy'!G68</f>
        <v>6922323.12</v>
      </c>
      <c r="H68" s="308">
        <f>'Zał.1_WPF_bazowy'!H68</f>
        <v>0</v>
      </c>
      <c r="I68" s="309">
        <f>+'Zał.1_WPF_bazowy'!I68</f>
        <v>7698600.8</v>
      </c>
      <c r="J68" s="310">
        <f>+'Zał.1_WPF_bazowy'!J68</f>
        <v>7861000</v>
      </c>
      <c r="K68" s="310">
        <f>+'Zał.1_WPF_bazowy'!K68</f>
        <v>8019000</v>
      </c>
      <c r="L68" s="310">
        <f>+'Zał.1_WPF_bazowy'!L68</f>
        <v>8179000</v>
      </c>
      <c r="M68" s="310">
        <f>+'Zał.1_WPF_bazowy'!M68</f>
        <v>0</v>
      </c>
      <c r="N68" s="310">
        <f>+'Zał.1_WPF_bazowy'!N68</f>
        <v>0</v>
      </c>
      <c r="O68" s="310">
        <f>+'Zał.1_WPF_bazowy'!O68</f>
        <v>0</v>
      </c>
      <c r="P68" s="310">
        <f>+'Zał.1_WPF_bazowy'!P68</f>
        <v>0</v>
      </c>
      <c r="Q68" s="310">
        <f>+'Zał.1_WPF_bazowy'!Q68</f>
        <v>0</v>
      </c>
      <c r="R68" s="310">
        <f>+'Zał.1_WPF_bazowy'!R68</f>
        <v>0</v>
      </c>
      <c r="S68" s="310">
        <f>+'Zał.1_WPF_bazowy'!S68</f>
        <v>0</v>
      </c>
      <c r="T68" s="310">
        <f>+'Zał.1_WPF_bazowy'!T68</f>
        <v>0</v>
      </c>
      <c r="U68" s="310" t="e">
        <f>+'Zał.1_WPF_bazowy'!#REF!</f>
        <v>#REF!</v>
      </c>
      <c r="V68" s="310" t="e">
        <f>+'Zał.1_WPF_bazowy'!#REF!</f>
        <v>#REF!</v>
      </c>
      <c r="W68" s="310" t="e">
        <f>+'Zał.1_WPF_bazowy'!#REF!</f>
        <v>#REF!</v>
      </c>
      <c r="X68" s="310" t="e">
        <f>+'Zał.1_WPF_bazowy'!#REF!</f>
        <v>#REF!</v>
      </c>
      <c r="Y68" s="310" t="e">
        <f>+'Zał.1_WPF_bazowy'!#REF!</f>
        <v>#REF!</v>
      </c>
      <c r="Z68" s="310" t="e">
        <f>+'Zał.1_WPF_bazowy'!#REF!</f>
        <v>#REF!</v>
      </c>
      <c r="AA68" s="310" t="e">
        <f>+'Zał.1_WPF_bazowy'!#REF!</f>
        <v>#REF!</v>
      </c>
      <c r="AB68" s="310" t="e">
        <f>+'Zał.1_WPF_bazowy'!#REF!</f>
        <v>#REF!</v>
      </c>
      <c r="AC68" s="310" t="e">
        <f>+'Zał.1_WPF_bazowy'!#REF!</f>
        <v>#REF!</v>
      </c>
      <c r="AD68" s="310" t="e">
        <f>+'Zał.1_WPF_bazowy'!#REF!</f>
        <v>#REF!</v>
      </c>
      <c r="AE68" s="310" t="e">
        <f>+'Zał.1_WPF_bazowy'!#REF!</f>
        <v>#REF!</v>
      </c>
      <c r="AF68" s="310" t="e">
        <f>+'Zał.1_WPF_bazowy'!#REF!</f>
        <v>#REF!</v>
      </c>
      <c r="AG68" s="310" t="e">
        <f>+'Zał.1_WPF_bazowy'!#REF!</f>
        <v>#REF!</v>
      </c>
      <c r="AH68" s="310" t="e">
        <f>+'Zał.1_WPF_bazowy'!#REF!</f>
        <v>#REF!</v>
      </c>
      <c r="AI68" s="310" t="e">
        <f>+'Zał.1_WPF_bazowy'!#REF!</f>
        <v>#REF!</v>
      </c>
      <c r="AJ68" s="310" t="e">
        <f>+'Zał.1_WPF_bazowy'!#REF!</f>
        <v>#REF!</v>
      </c>
      <c r="AK68" s="310" t="e">
        <f>+'Zał.1_WPF_bazowy'!#REF!</f>
        <v>#REF!</v>
      </c>
      <c r="AL68" s="311" t="e">
        <f>+'Zał.1_WPF_bazowy'!#REF!</f>
        <v>#REF!</v>
      </c>
    </row>
    <row r="69" spans="1:38" ht="14.25" outlineLevel="2">
      <c r="A69" s="374"/>
      <c r="B69" s="46" t="s">
        <v>191</v>
      </c>
      <c r="C69" s="257"/>
      <c r="D69" s="354" t="s">
        <v>245</v>
      </c>
      <c r="E69" s="246">
        <f>'Zał.1_WPF_bazowy'!E69</f>
        <v>0</v>
      </c>
      <c r="F69" s="247">
        <f>'Zał.1_WPF_bazowy'!F69</f>
        <v>0</v>
      </c>
      <c r="G69" s="247">
        <f>'Zał.1_WPF_bazowy'!G69</f>
        <v>0</v>
      </c>
      <c r="H69" s="308">
        <f>'Zał.1_WPF_bazowy'!H69</f>
        <v>1576869.42</v>
      </c>
      <c r="I69" s="309">
        <f>+'Zał.1_WPF_bazowy'!I69</f>
        <v>1704850</v>
      </c>
      <c r="J69" s="310">
        <f>+'Zał.1_WPF_bazowy'!J69</f>
        <v>1738000</v>
      </c>
      <c r="K69" s="310">
        <f>+'Zał.1_WPF_bazowy'!K69</f>
        <v>1765000</v>
      </c>
      <c r="L69" s="310">
        <f>+'Zał.1_WPF_bazowy'!L69</f>
        <v>1793000</v>
      </c>
      <c r="M69" s="310">
        <f>+'Zał.1_WPF_bazowy'!M69</f>
        <v>0</v>
      </c>
      <c r="N69" s="310">
        <f>+'Zał.1_WPF_bazowy'!N69</f>
        <v>0</v>
      </c>
      <c r="O69" s="310">
        <f>+'Zał.1_WPF_bazowy'!O69</f>
        <v>0</v>
      </c>
      <c r="P69" s="310">
        <f>+'Zał.1_WPF_bazowy'!P69</f>
        <v>0</v>
      </c>
      <c r="Q69" s="310">
        <f>+'Zał.1_WPF_bazowy'!Q69</f>
        <v>0</v>
      </c>
      <c r="R69" s="310">
        <f>+'Zał.1_WPF_bazowy'!R69</f>
        <v>0</v>
      </c>
      <c r="S69" s="310">
        <f>+'Zał.1_WPF_bazowy'!S69</f>
        <v>0</v>
      </c>
      <c r="T69" s="310">
        <f>+'Zał.1_WPF_bazowy'!T69</f>
        <v>0</v>
      </c>
      <c r="U69" s="310" t="e">
        <f>+'Zał.1_WPF_bazowy'!#REF!</f>
        <v>#REF!</v>
      </c>
      <c r="V69" s="310" t="e">
        <f>+'Zał.1_WPF_bazowy'!#REF!</f>
        <v>#REF!</v>
      </c>
      <c r="W69" s="310" t="e">
        <f>+'Zał.1_WPF_bazowy'!#REF!</f>
        <v>#REF!</v>
      </c>
      <c r="X69" s="310" t="e">
        <f>+'Zał.1_WPF_bazowy'!#REF!</f>
        <v>#REF!</v>
      </c>
      <c r="Y69" s="310" t="e">
        <f>+'Zał.1_WPF_bazowy'!#REF!</f>
        <v>#REF!</v>
      </c>
      <c r="Z69" s="310" t="e">
        <f>+'Zał.1_WPF_bazowy'!#REF!</f>
        <v>#REF!</v>
      </c>
      <c r="AA69" s="310" t="e">
        <f>+'Zał.1_WPF_bazowy'!#REF!</f>
        <v>#REF!</v>
      </c>
      <c r="AB69" s="310" t="e">
        <f>+'Zał.1_WPF_bazowy'!#REF!</f>
        <v>#REF!</v>
      </c>
      <c r="AC69" s="310" t="e">
        <f>+'Zał.1_WPF_bazowy'!#REF!</f>
        <v>#REF!</v>
      </c>
      <c r="AD69" s="310" t="e">
        <f>+'Zał.1_WPF_bazowy'!#REF!</f>
        <v>#REF!</v>
      </c>
      <c r="AE69" s="310" t="e">
        <f>+'Zał.1_WPF_bazowy'!#REF!</f>
        <v>#REF!</v>
      </c>
      <c r="AF69" s="310" t="e">
        <f>+'Zał.1_WPF_bazowy'!#REF!</f>
        <v>#REF!</v>
      </c>
      <c r="AG69" s="310" t="e">
        <f>+'Zał.1_WPF_bazowy'!#REF!</f>
        <v>#REF!</v>
      </c>
      <c r="AH69" s="310" t="e">
        <f>+'Zał.1_WPF_bazowy'!#REF!</f>
        <v>#REF!</v>
      </c>
      <c r="AI69" s="310" t="e">
        <f>+'Zał.1_WPF_bazowy'!#REF!</f>
        <v>#REF!</v>
      </c>
      <c r="AJ69" s="310" t="e">
        <f>+'Zał.1_WPF_bazowy'!#REF!</f>
        <v>#REF!</v>
      </c>
      <c r="AK69" s="310" t="e">
        <f>+'Zał.1_WPF_bazowy'!#REF!</f>
        <v>#REF!</v>
      </c>
      <c r="AL69" s="311" t="e">
        <f>+'Zał.1_WPF_bazowy'!#REF!</f>
        <v>#REF!</v>
      </c>
    </row>
    <row r="70" spans="1:38" ht="14.25" outlineLevel="2">
      <c r="A70" s="374"/>
      <c r="B70" s="46" t="s">
        <v>192</v>
      </c>
      <c r="C70" s="257" t="s">
        <v>420</v>
      </c>
      <c r="D70" s="354" t="s">
        <v>248</v>
      </c>
      <c r="E70" s="246">
        <f>'Zał.1_WPF_bazowy'!E70</f>
        <v>2444639.19</v>
      </c>
      <c r="F70" s="247">
        <f>'Zał.1_WPF_bazowy'!F70</f>
        <v>518323.6</v>
      </c>
      <c r="G70" s="247">
        <f>'Zał.1_WPF_bazowy'!G70</f>
        <v>1349610</v>
      </c>
      <c r="H70" s="165">
        <f>+H71+H72</f>
        <v>584688</v>
      </c>
      <c r="I70" s="163">
        <f>+I71+I72</f>
        <v>274992</v>
      </c>
      <c r="J70" s="164">
        <f aca="true" t="shared" si="20" ref="J70:AL70">+J71+J72</f>
        <v>1305379</v>
      </c>
      <c r="K70" s="164">
        <f t="shared" si="20"/>
        <v>1750990</v>
      </c>
      <c r="L70" s="164">
        <f t="shared" si="20"/>
        <v>0</v>
      </c>
      <c r="M70" s="164">
        <f t="shared" si="20"/>
        <v>0</v>
      </c>
      <c r="N70" s="164">
        <f t="shared" si="20"/>
        <v>0</v>
      </c>
      <c r="O70" s="164">
        <f t="shared" si="20"/>
        <v>0</v>
      </c>
      <c r="P70" s="164">
        <f t="shared" si="20"/>
        <v>0</v>
      </c>
      <c r="Q70" s="164">
        <f t="shared" si="20"/>
        <v>0</v>
      </c>
      <c r="R70" s="164">
        <f t="shared" si="20"/>
        <v>0</v>
      </c>
      <c r="S70" s="164">
        <f t="shared" si="20"/>
        <v>0</v>
      </c>
      <c r="T70" s="164">
        <f t="shared" si="20"/>
        <v>0</v>
      </c>
      <c r="U70" s="164" t="e">
        <f t="shared" si="20"/>
        <v>#REF!</v>
      </c>
      <c r="V70" s="164" t="e">
        <f t="shared" si="20"/>
        <v>#REF!</v>
      </c>
      <c r="W70" s="164" t="e">
        <f t="shared" si="20"/>
        <v>#REF!</v>
      </c>
      <c r="X70" s="164" t="e">
        <f t="shared" si="20"/>
        <v>#REF!</v>
      </c>
      <c r="Y70" s="164" t="e">
        <f t="shared" si="20"/>
        <v>#REF!</v>
      </c>
      <c r="Z70" s="164" t="e">
        <f t="shared" si="20"/>
        <v>#REF!</v>
      </c>
      <c r="AA70" s="164" t="e">
        <f t="shared" si="20"/>
        <v>#REF!</v>
      </c>
      <c r="AB70" s="164" t="e">
        <f t="shared" si="20"/>
        <v>#REF!</v>
      </c>
      <c r="AC70" s="164" t="e">
        <f t="shared" si="20"/>
        <v>#REF!</v>
      </c>
      <c r="AD70" s="164" t="e">
        <f t="shared" si="20"/>
        <v>#REF!</v>
      </c>
      <c r="AE70" s="164" t="e">
        <f t="shared" si="20"/>
        <v>#REF!</v>
      </c>
      <c r="AF70" s="164" t="e">
        <f t="shared" si="20"/>
        <v>#REF!</v>
      </c>
      <c r="AG70" s="164" t="e">
        <f t="shared" si="20"/>
        <v>#REF!</v>
      </c>
      <c r="AH70" s="164" t="e">
        <f t="shared" si="20"/>
        <v>#REF!</v>
      </c>
      <c r="AI70" s="164" t="e">
        <f t="shared" si="20"/>
        <v>#REF!</v>
      </c>
      <c r="AJ70" s="164" t="e">
        <f t="shared" si="20"/>
        <v>#REF!</v>
      </c>
      <c r="AK70" s="164" t="e">
        <f t="shared" si="20"/>
        <v>#REF!</v>
      </c>
      <c r="AL70" s="165" t="e">
        <f t="shared" si="20"/>
        <v>#REF!</v>
      </c>
    </row>
    <row r="71" spans="1:38" ht="14.25" outlineLevel="2">
      <c r="A71" s="374"/>
      <c r="B71" s="46" t="s">
        <v>117</v>
      </c>
      <c r="C71" s="257"/>
      <c r="D71" s="355" t="s">
        <v>246</v>
      </c>
      <c r="E71" s="246">
        <f>'Zał.1_WPF_bazowy'!E71</f>
        <v>31989</v>
      </c>
      <c r="F71" s="247">
        <f>'Zał.1_WPF_bazowy'!F71</f>
        <v>122229.98</v>
      </c>
      <c r="G71" s="247">
        <f>'Zał.1_WPF_bazowy'!G71</f>
        <v>437610</v>
      </c>
      <c r="H71" s="308">
        <f>'Zał.1_WPF_bazowy'!H71</f>
        <v>0</v>
      </c>
      <c r="I71" s="309">
        <f>+'Zał.1_WPF_bazowy'!I71</f>
        <v>274992</v>
      </c>
      <c r="J71" s="310">
        <f>+'Zał.1_WPF_bazowy'!J71</f>
        <v>97369</v>
      </c>
      <c r="K71" s="310">
        <f>+'Zał.1_WPF_bazowy'!K71</f>
        <v>0</v>
      </c>
      <c r="L71" s="310">
        <f>+'Zał.1_WPF_bazowy'!L71</f>
        <v>0</v>
      </c>
      <c r="M71" s="310">
        <f>+'Zał.1_WPF_bazowy'!M71</f>
        <v>0</v>
      </c>
      <c r="N71" s="310">
        <f>+'Zał.1_WPF_bazowy'!N71</f>
        <v>0</v>
      </c>
      <c r="O71" s="310">
        <f>+'Zał.1_WPF_bazowy'!O71</f>
        <v>0</v>
      </c>
      <c r="P71" s="310">
        <f>+'Zał.1_WPF_bazowy'!P71</f>
        <v>0</v>
      </c>
      <c r="Q71" s="310">
        <f>+'Zał.1_WPF_bazowy'!Q71</f>
        <v>0</v>
      </c>
      <c r="R71" s="310">
        <f>+'Zał.1_WPF_bazowy'!R71</f>
        <v>0</v>
      </c>
      <c r="S71" s="310">
        <f>+'Zał.1_WPF_bazowy'!S71</f>
        <v>0</v>
      </c>
      <c r="T71" s="310">
        <f>+'Zał.1_WPF_bazowy'!T71</f>
        <v>0</v>
      </c>
      <c r="U71" s="310" t="e">
        <f>+'Zał.1_WPF_bazowy'!#REF!</f>
        <v>#REF!</v>
      </c>
      <c r="V71" s="310" t="e">
        <f>+'Zał.1_WPF_bazowy'!#REF!</f>
        <v>#REF!</v>
      </c>
      <c r="W71" s="310" t="e">
        <f>+'Zał.1_WPF_bazowy'!#REF!</f>
        <v>#REF!</v>
      </c>
      <c r="X71" s="310" t="e">
        <f>+'Zał.1_WPF_bazowy'!#REF!</f>
        <v>#REF!</v>
      </c>
      <c r="Y71" s="310" t="e">
        <f>+'Zał.1_WPF_bazowy'!#REF!</f>
        <v>#REF!</v>
      </c>
      <c r="Z71" s="310" t="e">
        <f>+'Zał.1_WPF_bazowy'!#REF!</f>
        <v>#REF!</v>
      </c>
      <c r="AA71" s="310" t="e">
        <f>+'Zał.1_WPF_bazowy'!#REF!</f>
        <v>#REF!</v>
      </c>
      <c r="AB71" s="310" t="e">
        <f>+'Zał.1_WPF_bazowy'!#REF!</f>
        <v>#REF!</v>
      </c>
      <c r="AC71" s="310" t="e">
        <f>+'Zał.1_WPF_bazowy'!#REF!</f>
        <v>#REF!</v>
      </c>
      <c r="AD71" s="310" t="e">
        <f>+'Zał.1_WPF_bazowy'!#REF!</f>
        <v>#REF!</v>
      </c>
      <c r="AE71" s="310" t="e">
        <f>+'Zał.1_WPF_bazowy'!#REF!</f>
        <v>#REF!</v>
      </c>
      <c r="AF71" s="310" t="e">
        <f>+'Zał.1_WPF_bazowy'!#REF!</f>
        <v>#REF!</v>
      </c>
      <c r="AG71" s="310" t="e">
        <f>+'Zał.1_WPF_bazowy'!#REF!</f>
        <v>#REF!</v>
      </c>
      <c r="AH71" s="310" t="e">
        <f>+'Zał.1_WPF_bazowy'!#REF!</f>
        <v>#REF!</v>
      </c>
      <c r="AI71" s="310" t="e">
        <f>+'Zał.1_WPF_bazowy'!#REF!</f>
        <v>#REF!</v>
      </c>
      <c r="AJ71" s="310" t="e">
        <f>+'Zał.1_WPF_bazowy'!#REF!</f>
        <v>#REF!</v>
      </c>
      <c r="AK71" s="310" t="e">
        <f>+'Zał.1_WPF_bazowy'!#REF!</f>
        <v>#REF!</v>
      </c>
      <c r="AL71" s="311" t="e">
        <f>+'Zał.1_WPF_bazowy'!#REF!</f>
        <v>#REF!</v>
      </c>
    </row>
    <row r="72" spans="1:38" ht="14.25" outlineLevel="2">
      <c r="A72" s="374"/>
      <c r="B72" s="46" t="s">
        <v>119</v>
      </c>
      <c r="C72" s="257"/>
      <c r="D72" s="355" t="s">
        <v>247</v>
      </c>
      <c r="E72" s="246">
        <f>'Zał.1_WPF_bazowy'!E72</f>
        <v>2412650.19</v>
      </c>
      <c r="F72" s="247">
        <f>'Zał.1_WPF_bazowy'!F72</f>
        <v>396093.62</v>
      </c>
      <c r="G72" s="247">
        <f>'Zał.1_WPF_bazowy'!G72</f>
        <v>912000</v>
      </c>
      <c r="H72" s="308">
        <f>'Zał.1_WPF_bazowy'!H72</f>
        <v>584688</v>
      </c>
      <c r="I72" s="309">
        <f>+'Zał.1_WPF_bazowy'!I72</f>
        <v>0</v>
      </c>
      <c r="J72" s="310">
        <f>+'Zał.1_WPF_bazowy'!J72</f>
        <v>1208010</v>
      </c>
      <c r="K72" s="310">
        <f>+'Zał.1_WPF_bazowy'!K72</f>
        <v>1750990</v>
      </c>
      <c r="L72" s="310">
        <f>+'Zał.1_WPF_bazowy'!L72</f>
        <v>0</v>
      </c>
      <c r="M72" s="310">
        <f>+'Zał.1_WPF_bazowy'!M72</f>
        <v>0</v>
      </c>
      <c r="N72" s="310">
        <f>+'Zał.1_WPF_bazowy'!N72</f>
        <v>0</v>
      </c>
      <c r="O72" s="310">
        <f>+'Zał.1_WPF_bazowy'!O72</f>
        <v>0</v>
      </c>
      <c r="P72" s="310">
        <f>+'Zał.1_WPF_bazowy'!P72</f>
        <v>0</v>
      </c>
      <c r="Q72" s="310">
        <f>+'Zał.1_WPF_bazowy'!Q72</f>
        <v>0</v>
      </c>
      <c r="R72" s="310">
        <f>+'Zał.1_WPF_bazowy'!R72</f>
        <v>0</v>
      </c>
      <c r="S72" s="310">
        <f>+'Zał.1_WPF_bazowy'!S72</f>
        <v>0</v>
      </c>
      <c r="T72" s="310">
        <f>+'Zał.1_WPF_bazowy'!T72</f>
        <v>0</v>
      </c>
      <c r="U72" s="310" t="e">
        <f>+'Zał.1_WPF_bazowy'!#REF!</f>
        <v>#REF!</v>
      </c>
      <c r="V72" s="310" t="e">
        <f>+'Zał.1_WPF_bazowy'!#REF!</f>
        <v>#REF!</v>
      </c>
      <c r="W72" s="310" t="e">
        <f>+'Zał.1_WPF_bazowy'!#REF!</f>
        <v>#REF!</v>
      </c>
      <c r="X72" s="310" t="e">
        <f>+'Zał.1_WPF_bazowy'!#REF!</f>
        <v>#REF!</v>
      </c>
      <c r="Y72" s="310" t="e">
        <f>+'Zał.1_WPF_bazowy'!#REF!</f>
        <v>#REF!</v>
      </c>
      <c r="Z72" s="310" t="e">
        <f>+'Zał.1_WPF_bazowy'!#REF!</f>
        <v>#REF!</v>
      </c>
      <c r="AA72" s="310" t="e">
        <f>+'Zał.1_WPF_bazowy'!#REF!</f>
        <v>#REF!</v>
      </c>
      <c r="AB72" s="310" t="e">
        <f>+'Zał.1_WPF_bazowy'!#REF!</f>
        <v>#REF!</v>
      </c>
      <c r="AC72" s="310" t="e">
        <f>+'Zał.1_WPF_bazowy'!#REF!</f>
        <v>#REF!</v>
      </c>
      <c r="AD72" s="310" t="e">
        <f>+'Zał.1_WPF_bazowy'!#REF!</f>
        <v>#REF!</v>
      </c>
      <c r="AE72" s="310" t="e">
        <f>+'Zał.1_WPF_bazowy'!#REF!</f>
        <v>#REF!</v>
      </c>
      <c r="AF72" s="310" t="e">
        <f>+'Zał.1_WPF_bazowy'!#REF!</f>
        <v>#REF!</v>
      </c>
      <c r="AG72" s="310" t="e">
        <f>+'Zał.1_WPF_bazowy'!#REF!</f>
        <v>#REF!</v>
      </c>
      <c r="AH72" s="310" t="e">
        <f>+'Zał.1_WPF_bazowy'!#REF!</f>
        <v>#REF!</v>
      </c>
      <c r="AI72" s="310" t="e">
        <f>+'Zał.1_WPF_bazowy'!#REF!</f>
        <v>#REF!</v>
      </c>
      <c r="AJ72" s="310" t="e">
        <f>+'Zał.1_WPF_bazowy'!#REF!</f>
        <v>#REF!</v>
      </c>
      <c r="AK72" s="310" t="e">
        <f>+'Zał.1_WPF_bazowy'!#REF!</f>
        <v>#REF!</v>
      </c>
      <c r="AL72" s="311" t="e">
        <f>+'Zał.1_WPF_bazowy'!#REF!</f>
        <v>#REF!</v>
      </c>
    </row>
    <row r="73" spans="1:38" ht="14.25" outlineLevel="2">
      <c r="A73" s="374"/>
      <c r="B73" s="46" t="s">
        <v>193</v>
      </c>
      <c r="C73" s="257"/>
      <c r="D73" s="354" t="s">
        <v>249</v>
      </c>
      <c r="E73" s="246">
        <f>'Zał.1_WPF_bazowy'!E73</f>
        <v>0</v>
      </c>
      <c r="F73" s="247">
        <f>'Zał.1_WPF_bazowy'!F73</f>
        <v>0</v>
      </c>
      <c r="G73" s="247">
        <f>'Zał.1_WPF_bazowy'!G73</f>
        <v>0</v>
      </c>
      <c r="H73" s="308">
        <f>'Zał.1_WPF_bazowy'!H73</f>
        <v>0</v>
      </c>
      <c r="I73" s="309">
        <f>+'Zał.1_WPF_bazowy'!I73</f>
        <v>374286</v>
      </c>
      <c r="J73" s="310">
        <f>+'Zał.1_WPF_bazowy'!J73</f>
        <v>0</v>
      </c>
      <c r="K73" s="310">
        <f>+'Zał.1_WPF_bazowy'!K73</f>
        <v>0</v>
      </c>
      <c r="L73" s="310">
        <f>+'Zał.1_WPF_bazowy'!L73</f>
        <v>0</v>
      </c>
      <c r="M73" s="310">
        <f>+'Zał.1_WPF_bazowy'!M73</f>
        <v>0</v>
      </c>
      <c r="N73" s="310">
        <f>+'Zał.1_WPF_bazowy'!N73</f>
        <v>0</v>
      </c>
      <c r="O73" s="310">
        <f>+'Zał.1_WPF_bazowy'!O73</f>
        <v>0</v>
      </c>
      <c r="P73" s="310">
        <f>+'Zał.1_WPF_bazowy'!P73</f>
        <v>0</v>
      </c>
      <c r="Q73" s="310">
        <f>+'Zał.1_WPF_bazowy'!Q73</f>
        <v>0</v>
      </c>
      <c r="R73" s="310">
        <f>+'Zał.1_WPF_bazowy'!R73</f>
        <v>0</v>
      </c>
      <c r="S73" s="310">
        <f>+'Zał.1_WPF_bazowy'!S73</f>
        <v>0</v>
      </c>
      <c r="T73" s="310">
        <f>+'Zał.1_WPF_bazowy'!T73</f>
        <v>0</v>
      </c>
      <c r="U73" s="310" t="e">
        <f>+'Zał.1_WPF_bazowy'!#REF!</f>
        <v>#REF!</v>
      </c>
      <c r="V73" s="310" t="e">
        <f>+'Zał.1_WPF_bazowy'!#REF!</f>
        <v>#REF!</v>
      </c>
      <c r="W73" s="310" t="e">
        <f>+'Zał.1_WPF_bazowy'!#REF!</f>
        <v>#REF!</v>
      </c>
      <c r="X73" s="310" t="e">
        <f>+'Zał.1_WPF_bazowy'!#REF!</f>
        <v>#REF!</v>
      </c>
      <c r="Y73" s="310" t="e">
        <f>+'Zał.1_WPF_bazowy'!#REF!</f>
        <v>#REF!</v>
      </c>
      <c r="Z73" s="310" t="e">
        <f>+'Zał.1_WPF_bazowy'!#REF!</f>
        <v>#REF!</v>
      </c>
      <c r="AA73" s="310" t="e">
        <f>+'Zał.1_WPF_bazowy'!#REF!</f>
        <v>#REF!</v>
      </c>
      <c r="AB73" s="310" t="e">
        <f>+'Zał.1_WPF_bazowy'!#REF!</f>
        <v>#REF!</v>
      </c>
      <c r="AC73" s="310" t="e">
        <f>+'Zał.1_WPF_bazowy'!#REF!</f>
        <v>#REF!</v>
      </c>
      <c r="AD73" s="310" t="e">
        <f>+'Zał.1_WPF_bazowy'!#REF!</f>
        <v>#REF!</v>
      </c>
      <c r="AE73" s="310" t="e">
        <f>+'Zał.1_WPF_bazowy'!#REF!</f>
        <v>#REF!</v>
      </c>
      <c r="AF73" s="310" t="e">
        <f>+'Zał.1_WPF_bazowy'!#REF!</f>
        <v>#REF!</v>
      </c>
      <c r="AG73" s="310" t="e">
        <f>+'Zał.1_WPF_bazowy'!#REF!</f>
        <v>#REF!</v>
      </c>
      <c r="AH73" s="310" t="e">
        <f>+'Zał.1_WPF_bazowy'!#REF!</f>
        <v>#REF!</v>
      </c>
      <c r="AI73" s="310" t="e">
        <f>+'Zał.1_WPF_bazowy'!#REF!</f>
        <v>#REF!</v>
      </c>
      <c r="AJ73" s="310" t="e">
        <f>+'Zał.1_WPF_bazowy'!#REF!</f>
        <v>#REF!</v>
      </c>
      <c r="AK73" s="310" t="e">
        <f>+'Zał.1_WPF_bazowy'!#REF!</f>
        <v>#REF!</v>
      </c>
      <c r="AL73" s="311" t="e">
        <f>+'Zał.1_WPF_bazowy'!#REF!</f>
        <v>#REF!</v>
      </c>
    </row>
    <row r="74" spans="1:38" ht="14.25" outlineLevel="2">
      <c r="A74" s="374"/>
      <c r="B74" s="46" t="s">
        <v>194</v>
      </c>
      <c r="C74" s="257"/>
      <c r="D74" s="354" t="s">
        <v>250</v>
      </c>
      <c r="E74" s="246">
        <f>'Zał.1_WPF_bazowy'!E74</f>
        <v>0</v>
      </c>
      <c r="F74" s="247">
        <f>'Zał.1_WPF_bazowy'!F74</f>
        <v>0</v>
      </c>
      <c r="G74" s="247">
        <f>'Zał.1_WPF_bazowy'!G74</f>
        <v>0</v>
      </c>
      <c r="H74" s="308">
        <f>'Zał.1_WPF_bazowy'!H74</f>
        <v>21000</v>
      </c>
      <c r="I74" s="309">
        <f>+'Zał.1_WPF_bazowy'!I74</f>
        <v>1529925</v>
      </c>
      <c r="J74" s="310">
        <f>+'Zał.1_WPF_bazowy'!J74</f>
        <v>1208010</v>
      </c>
      <c r="K74" s="310">
        <f>+'Zał.1_WPF_bazowy'!K74</f>
        <v>1750990</v>
      </c>
      <c r="L74" s="310">
        <f>+'Zał.1_WPF_bazowy'!L74</f>
        <v>500000</v>
      </c>
      <c r="M74" s="310">
        <f>+'Zał.1_WPF_bazowy'!M74</f>
        <v>0</v>
      </c>
      <c r="N74" s="310">
        <f>+'Zał.1_WPF_bazowy'!N74</f>
        <v>0</v>
      </c>
      <c r="O74" s="310">
        <f>+'Zał.1_WPF_bazowy'!O74</f>
        <v>0</v>
      </c>
      <c r="P74" s="310">
        <f>+'Zał.1_WPF_bazowy'!P74</f>
        <v>0</v>
      </c>
      <c r="Q74" s="310">
        <f>+'Zał.1_WPF_bazowy'!Q74</f>
        <v>0</v>
      </c>
      <c r="R74" s="310">
        <f>+'Zał.1_WPF_bazowy'!R74</f>
        <v>0</v>
      </c>
      <c r="S74" s="310">
        <f>+'Zał.1_WPF_bazowy'!S74</f>
        <v>0</v>
      </c>
      <c r="T74" s="310">
        <f>+'Zał.1_WPF_bazowy'!T74</f>
        <v>0</v>
      </c>
      <c r="U74" s="310" t="e">
        <f>+'Zał.1_WPF_bazowy'!#REF!</f>
        <v>#REF!</v>
      </c>
      <c r="V74" s="310" t="e">
        <f>+'Zał.1_WPF_bazowy'!#REF!</f>
        <v>#REF!</v>
      </c>
      <c r="W74" s="310" t="e">
        <f>+'Zał.1_WPF_bazowy'!#REF!</f>
        <v>#REF!</v>
      </c>
      <c r="X74" s="310" t="e">
        <f>+'Zał.1_WPF_bazowy'!#REF!</f>
        <v>#REF!</v>
      </c>
      <c r="Y74" s="310" t="e">
        <f>+'Zał.1_WPF_bazowy'!#REF!</f>
        <v>#REF!</v>
      </c>
      <c r="Z74" s="310" t="e">
        <f>+'Zał.1_WPF_bazowy'!#REF!</f>
        <v>#REF!</v>
      </c>
      <c r="AA74" s="310" t="e">
        <f>+'Zał.1_WPF_bazowy'!#REF!</f>
        <v>#REF!</v>
      </c>
      <c r="AB74" s="310" t="e">
        <f>+'Zał.1_WPF_bazowy'!#REF!</f>
        <v>#REF!</v>
      </c>
      <c r="AC74" s="310" t="e">
        <f>+'Zał.1_WPF_bazowy'!#REF!</f>
        <v>#REF!</v>
      </c>
      <c r="AD74" s="310" t="e">
        <f>+'Zał.1_WPF_bazowy'!#REF!</f>
        <v>#REF!</v>
      </c>
      <c r="AE74" s="310" t="e">
        <f>+'Zał.1_WPF_bazowy'!#REF!</f>
        <v>#REF!</v>
      </c>
      <c r="AF74" s="310" t="e">
        <f>+'Zał.1_WPF_bazowy'!#REF!</f>
        <v>#REF!</v>
      </c>
      <c r="AG74" s="310" t="e">
        <f>+'Zał.1_WPF_bazowy'!#REF!</f>
        <v>#REF!</v>
      </c>
      <c r="AH74" s="310" t="e">
        <f>+'Zał.1_WPF_bazowy'!#REF!</f>
        <v>#REF!</v>
      </c>
      <c r="AI74" s="310" t="e">
        <f>+'Zał.1_WPF_bazowy'!#REF!</f>
        <v>#REF!</v>
      </c>
      <c r="AJ74" s="310" t="e">
        <f>+'Zał.1_WPF_bazowy'!#REF!</f>
        <v>#REF!</v>
      </c>
      <c r="AK74" s="310" t="e">
        <f>+'Zał.1_WPF_bazowy'!#REF!</f>
        <v>#REF!</v>
      </c>
      <c r="AL74" s="311" t="e">
        <f>+'Zał.1_WPF_bazowy'!#REF!</f>
        <v>#REF!</v>
      </c>
    </row>
    <row r="75" spans="1:38" ht="14.25" outlineLevel="2">
      <c r="A75" s="374"/>
      <c r="B75" s="46" t="s">
        <v>195</v>
      </c>
      <c r="C75" s="257"/>
      <c r="D75" s="354" t="s">
        <v>251</v>
      </c>
      <c r="E75" s="246">
        <f>'Zał.1_WPF_bazowy'!E75</f>
        <v>0</v>
      </c>
      <c r="F75" s="247">
        <f>'Zał.1_WPF_bazowy'!F75</f>
        <v>0</v>
      </c>
      <c r="G75" s="247">
        <f>'Zał.1_WPF_bazowy'!G75</f>
        <v>0</v>
      </c>
      <c r="H75" s="308">
        <f>'Zał.1_WPF_bazowy'!H75</f>
        <v>399937</v>
      </c>
      <c r="I75" s="309">
        <f>+'Zał.1_WPF_bazowy'!I75</f>
        <v>16000</v>
      </c>
      <c r="J75" s="310">
        <f>+'Zał.1_WPF_bazowy'!J75</f>
        <v>0</v>
      </c>
      <c r="K75" s="310">
        <f>+'Zał.1_WPF_bazowy'!K75</f>
        <v>0</v>
      </c>
      <c r="L75" s="310">
        <f>+'Zał.1_WPF_bazowy'!L75</f>
        <v>0</v>
      </c>
      <c r="M75" s="310">
        <f>+'Zał.1_WPF_bazowy'!M75</f>
        <v>0</v>
      </c>
      <c r="N75" s="310">
        <f>+'Zał.1_WPF_bazowy'!N75</f>
        <v>0</v>
      </c>
      <c r="O75" s="310">
        <f>+'Zał.1_WPF_bazowy'!O75</f>
        <v>0</v>
      </c>
      <c r="P75" s="310">
        <f>+'Zał.1_WPF_bazowy'!P75</f>
        <v>0</v>
      </c>
      <c r="Q75" s="310">
        <f>+'Zał.1_WPF_bazowy'!Q75</f>
        <v>0</v>
      </c>
      <c r="R75" s="310">
        <f>+'Zał.1_WPF_bazowy'!R75</f>
        <v>0</v>
      </c>
      <c r="S75" s="310">
        <f>+'Zał.1_WPF_bazowy'!S75</f>
        <v>0</v>
      </c>
      <c r="T75" s="310">
        <f>+'Zał.1_WPF_bazowy'!T75</f>
        <v>0</v>
      </c>
      <c r="U75" s="310" t="e">
        <f>+'Zał.1_WPF_bazowy'!#REF!</f>
        <v>#REF!</v>
      </c>
      <c r="V75" s="310" t="e">
        <f>+'Zał.1_WPF_bazowy'!#REF!</f>
        <v>#REF!</v>
      </c>
      <c r="W75" s="310" t="e">
        <f>+'Zał.1_WPF_bazowy'!#REF!</f>
        <v>#REF!</v>
      </c>
      <c r="X75" s="310" t="e">
        <f>+'Zał.1_WPF_bazowy'!#REF!</f>
        <v>#REF!</v>
      </c>
      <c r="Y75" s="310" t="e">
        <f>+'Zał.1_WPF_bazowy'!#REF!</f>
        <v>#REF!</v>
      </c>
      <c r="Z75" s="310" t="e">
        <f>+'Zał.1_WPF_bazowy'!#REF!</f>
        <v>#REF!</v>
      </c>
      <c r="AA75" s="310" t="e">
        <f>+'Zał.1_WPF_bazowy'!#REF!</f>
        <v>#REF!</v>
      </c>
      <c r="AB75" s="310" t="e">
        <f>+'Zał.1_WPF_bazowy'!#REF!</f>
        <v>#REF!</v>
      </c>
      <c r="AC75" s="310" t="e">
        <f>+'Zał.1_WPF_bazowy'!#REF!</f>
        <v>#REF!</v>
      </c>
      <c r="AD75" s="310" t="e">
        <f>+'Zał.1_WPF_bazowy'!#REF!</f>
        <v>#REF!</v>
      </c>
      <c r="AE75" s="310" t="e">
        <f>+'Zał.1_WPF_bazowy'!#REF!</f>
        <v>#REF!</v>
      </c>
      <c r="AF75" s="310" t="e">
        <f>+'Zał.1_WPF_bazowy'!#REF!</f>
        <v>#REF!</v>
      </c>
      <c r="AG75" s="310" t="e">
        <f>+'Zał.1_WPF_bazowy'!#REF!</f>
        <v>#REF!</v>
      </c>
      <c r="AH75" s="310" t="e">
        <f>+'Zał.1_WPF_bazowy'!#REF!</f>
        <v>#REF!</v>
      </c>
      <c r="AI75" s="310" t="e">
        <f>+'Zał.1_WPF_bazowy'!#REF!</f>
        <v>#REF!</v>
      </c>
      <c r="AJ75" s="310" t="e">
        <f>+'Zał.1_WPF_bazowy'!#REF!</f>
        <v>#REF!</v>
      </c>
      <c r="AK75" s="310" t="e">
        <f>+'Zał.1_WPF_bazowy'!#REF!</f>
        <v>#REF!</v>
      </c>
      <c r="AL75" s="311" t="e">
        <f>+'Zał.1_WPF_bazowy'!#REF!</f>
        <v>#REF!</v>
      </c>
    </row>
    <row r="76" spans="1:38" s="142" customFormat="1" ht="24" outlineLevel="1">
      <c r="A76" s="374"/>
      <c r="B76" s="45">
        <v>12</v>
      </c>
      <c r="C76" s="256"/>
      <c r="D76" s="352" t="s">
        <v>124</v>
      </c>
      <c r="E76" s="252" t="s">
        <v>31</v>
      </c>
      <c r="F76" s="253" t="s">
        <v>31</v>
      </c>
      <c r="G76" s="253" t="s">
        <v>31</v>
      </c>
      <c r="H76" s="320" t="s">
        <v>31</v>
      </c>
      <c r="I76" s="321" t="s">
        <v>31</v>
      </c>
      <c r="J76" s="322" t="s">
        <v>31</v>
      </c>
      <c r="K76" s="322" t="s">
        <v>31</v>
      </c>
      <c r="L76" s="322" t="s">
        <v>31</v>
      </c>
      <c r="M76" s="322" t="s">
        <v>31</v>
      </c>
      <c r="N76" s="322" t="s">
        <v>31</v>
      </c>
      <c r="O76" s="322" t="s">
        <v>31</v>
      </c>
      <c r="P76" s="322" t="s">
        <v>31</v>
      </c>
      <c r="Q76" s="322" t="s">
        <v>31</v>
      </c>
      <c r="R76" s="322" t="s">
        <v>31</v>
      </c>
      <c r="S76" s="322" t="s">
        <v>31</v>
      </c>
      <c r="T76" s="322" t="s">
        <v>31</v>
      </c>
      <c r="U76" s="322" t="s">
        <v>31</v>
      </c>
      <c r="V76" s="322" t="s">
        <v>31</v>
      </c>
      <c r="W76" s="322" t="s">
        <v>31</v>
      </c>
      <c r="X76" s="322" t="s">
        <v>31</v>
      </c>
      <c r="Y76" s="322" t="s">
        <v>31</v>
      </c>
      <c r="Z76" s="322" t="s">
        <v>31</v>
      </c>
      <c r="AA76" s="322" t="s">
        <v>31</v>
      </c>
      <c r="AB76" s="322" t="s">
        <v>31</v>
      </c>
      <c r="AC76" s="322" t="s">
        <v>31</v>
      </c>
      <c r="AD76" s="322" t="s">
        <v>31</v>
      </c>
      <c r="AE76" s="322" t="s">
        <v>31</v>
      </c>
      <c r="AF76" s="322" t="s">
        <v>31</v>
      </c>
      <c r="AG76" s="322" t="s">
        <v>31</v>
      </c>
      <c r="AH76" s="322" t="s">
        <v>31</v>
      </c>
      <c r="AI76" s="322" t="s">
        <v>31</v>
      </c>
      <c r="AJ76" s="322" t="s">
        <v>31</v>
      </c>
      <c r="AK76" s="322" t="s">
        <v>31</v>
      </c>
      <c r="AL76" s="323" t="s">
        <v>31</v>
      </c>
    </row>
    <row r="77" spans="1:38" ht="24" outlineLevel="2">
      <c r="A77" s="374"/>
      <c r="B77" s="46" t="s">
        <v>196</v>
      </c>
      <c r="C77" s="257"/>
      <c r="D77" s="354" t="s">
        <v>461</v>
      </c>
      <c r="E77" s="246">
        <f>'Zał.1_WPF_bazowy'!E77</f>
        <v>0</v>
      </c>
      <c r="F77" s="247">
        <f>'Zał.1_WPF_bazowy'!F77</f>
        <v>0</v>
      </c>
      <c r="G77" s="247">
        <f>'Zał.1_WPF_bazowy'!G77</f>
        <v>0</v>
      </c>
      <c r="H77" s="308">
        <f>'Zał.1_WPF_bazowy'!H77</f>
        <v>0</v>
      </c>
      <c r="I77" s="309">
        <f>+'Zał.1_WPF_bazowy'!I77</f>
        <v>188408.32</v>
      </c>
      <c r="J77" s="310">
        <f>+'Zał.1_WPF_bazowy'!J77</f>
        <v>0</v>
      </c>
      <c r="K77" s="310">
        <f>+'Zał.1_WPF_bazowy'!K77</f>
        <v>0</v>
      </c>
      <c r="L77" s="310">
        <f>+'Zał.1_WPF_bazowy'!L77</f>
        <v>0</v>
      </c>
      <c r="M77" s="310">
        <f>+'Zał.1_WPF_bazowy'!M77</f>
        <v>0</v>
      </c>
      <c r="N77" s="310">
        <f>+'Zał.1_WPF_bazowy'!N77</f>
        <v>0</v>
      </c>
      <c r="O77" s="310">
        <f>+'Zał.1_WPF_bazowy'!O77</f>
        <v>0</v>
      </c>
      <c r="P77" s="310">
        <f>+'Zał.1_WPF_bazowy'!P77</f>
        <v>0</v>
      </c>
      <c r="Q77" s="310">
        <f>+'Zał.1_WPF_bazowy'!Q77</f>
        <v>0</v>
      </c>
      <c r="R77" s="310">
        <f>+'Zał.1_WPF_bazowy'!R77</f>
        <v>0</v>
      </c>
      <c r="S77" s="310">
        <f>+'Zał.1_WPF_bazowy'!S77</f>
        <v>0</v>
      </c>
      <c r="T77" s="310">
        <f>+'Zał.1_WPF_bazowy'!T77</f>
        <v>0</v>
      </c>
      <c r="U77" s="310" t="e">
        <f>+'Zał.1_WPF_bazowy'!#REF!</f>
        <v>#REF!</v>
      </c>
      <c r="V77" s="310" t="e">
        <f>+'Zał.1_WPF_bazowy'!#REF!</f>
        <v>#REF!</v>
      </c>
      <c r="W77" s="310" t="e">
        <f>+'Zał.1_WPF_bazowy'!#REF!</f>
        <v>#REF!</v>
      </c>
      <c r="X77" s="310" t="e">
        <f>+'Zał.1_WPF_bazowy'!#REF!</f>
        <v>#REF!</v>
      </c>
      <c r="Y77" s="310" t="e">
        <f>+'Zał.1_WPF_bazowy'!#REF!</f>
        <v>#REF!</v>
      </c>
      <c r="Z77" s="310" t="e">
        <f>+'Zał.1_WPF_bazowy'!#REF!</f>
        <v>#REF!</v>
      </c>
      <c r="AA77" s="310" t="e">
        <f>+'Zał.1_WPF_bazowy'!#REF!</f>
        <v>#REF!</v>
      </c>
      <c r="AB77" s="310" t="e">
        <f>+'Zał.1_WPF_bazowy'!#REF!</f>
        <v>#REF!</v>
      </c>
      <c r="AC77" s="310" t="e">
        <f>+'Zał.1_WPF_bazowy'!#REF!</f>
        <v>#REF!</v>
      </c>
      <c r="AD77" s="310" t="e">
        <f>+'Zał.1_WPF_bazowy'!#REF!</f>
        <v>#REF!</v>
      </c>
      <c r="AE77" s="310" t="e">
        <f>+'Zał.1_WPF_bazowy'!#REF!</f>
        <v>#REF!</v>
      </c>
      <c r="AF77" s="310" t="e">
        <f>+'Zał.1_WPF_bazowy'!#REF!</f>
        <v>#REF!</v>
      </c>
      <c r="AG77" s="310" t="e">
        <f>+'Zał.1_WPF_bazowy'!#REF!</f>
        <v>#REF!</v>
      </c>
      <c r="AH77" s="310" t="e">
        <f>+'Zał.1_WPF_bazowy'!#REF!</f>
        <v>#REF!</v>
      </c>
      <c r="AI77" s="310" t="e">
        <f>+'Zał.1_WPF_bazowy'!#REF!</f>
        <v>#REF!</v>
      </c>
      <c r="AJ77" s="310" t="e">
        <f>+'Zał.1_WPF_bazowy'!#REF!</f>
        <v>#REF!</v>
      </c>
      <c r="AK77" s="310" t="e">
        <f>+'Zał.1_WPF_bazowy'!#REF!</f>
        <v>#REF!</v>
      </c>
      <c r="AL77" s="311" t="e">
        <f>+'Zał.1_WPF_bazowy'!#REF!</f>
        <v>#REF!</v>
      </c>
    </row>
    <row r="78" spans="1:38" ht="14.25" outlineLevel="2">
      <c r="A78" s="374"/>
      <c r="B78" s="46" t="s">
        <v>126</v>
      </c>
      <c r="C78" s="257"/>
      <c r="D78" s="355" t="s">
        <v>252</v>
      </c>
      <c r="E78" s="246">
        <f>'Zał.1_WPF_bazowy'!E78</f>
        <v>0</v>
      </c>
      <c r="F78" s="247">
        <f>'Zał.1_WPF_bazowy'!F78</f>
        <v>60057.29</v>
      </c>
      <c r="G78" s="247">
        <f>'Zał.1_WPF_bazowy'!G78</f>
        <v>201256</v>
      </c>
      <c r="H78" s="308">
        <f>'Zał.1_WPF_bazowy'!H78</f>
        <v>0</v>
      </c>
      <c r="I78" s="309">
        <f>+'Zał.1_WPF_bazowy'!I78</f>
        <v>188408.32</v>
      </c>
      <c r="J78" s="310">
        <f>+'Zał.1_WPF_bazowy'!J78</f>
        <v>0</v>
      </c>
      <c r="K78" s="310">
        <f>+'Zał.1_WPF_bazowy'!K78</f>
        <v>0</v>
      </c>
      <c r="L78" s="310">
        <f>+'Zał.1_WPF_bazowy'!L78</f>
        <v>0</v>
      </c>
      <c r="M78" s="310">
        <f>+'Zał.1_WPF_bazowy'!M78</f>
        <v>0</v>
      </c>
      <c r="N78" s="310">
        <f>+'Zał.1_WPF_bazowy'!N78</f>
        <v>0</v>
      </c>
      <c r="O78" s="310">
        <f>+'Zał.1_WPF_bazowy'!O78</f>
        <v>0</v>
      </c>
      <c r="P78" s="310">
        <f>+'Zał.1_WPF_bazowy'!P78</f>
        <v>0</v>
      </c>
      <c r="Q78" s="310">
        <f>+'Zał.1_WPF_bazowy'!Q78</f>
        <v>0</v>
      </c>
      <c r="R78" s="310">
        <f>+'Zał.1_WPF_bazowy'!R78</f>
        <v>0</v>
      </c>
      <c r="S78" s="310">
        <f>+'Zał.1_WPF_bazowy'!S78</f>
        <v>0</v>
      </c>
      <c r="T78" s="310">
        <f>+'Zał.1_WPF_bazowy'!T78</f>
        <v>0</v>
      </c>
      <c r="U78" s="310" t="e">
        <f>+'Zał.1_WPF_bazowy'!#REF!</f>
        <v>#REF!</v>
      </c>
      <c r="V78" s="310" t="e">
        <f>+'Zał.1_WPF_bazowy'!#REF!</f>
        <v>#REF!</v>
      </c>
      <c r="W78" s="310" t="e">
        <f>+'Zał.1_WPF_bazowy'!#REF!</f>
        <v>#REF!</v>
      </c>
      <c r="X78" s="310" t="e">
        <f>+'Zał.1_WPF_bazowy'!#REF!</f>
        <v>#REF!</v>
      </c>
      <c r="Y78" s="310" t="e">
        <f>+'Zał.1_WPF_bazowy'!#REF!</f>
        <v>#REF!</v>
      </c>
      <c r="Z78" s="310" t="e">
        <f>+'Zał.1_WPF_bazowy'!#REF!</f>
        <v>#REF!</v>
      </c>
      <c r="AA78" s="310" t="e">
        <f>+'Zał.1_WPF_bazowy'!#REF!</f>
        <v>#REF!</v>
      </c>
      <c r="AB78" s="310" t="e">
        <f>+'Zał.1_WPF_bazowy'!#REF!</f>
        <v>#REF!</v>
      </c>
      <c r="AC78" s="310" t="e">
        <f>+'Zał.1_WPF_bazowy'!#REF!</f>
        <v>#REF!</v>
      </c>
      <c r="AD78" s="310" t="e">
        <f>+'Zał.1_WPF_bazowy'!#REF!</f>
        <v>#REF!</v>
      </c>
      <c r="AE78" s="310" t="e">
        <f>+'Zał.1_WPF_bazowy'!#REF!</f>
        <v>#REF!</v>
      </c>
      <c r="AF78" s="310" t="e">
        <f>+'Zał.1_WPF_bazowy'!#REF!</f>
        <v>#REF!</v>
      </c>
      <c r="AG78" s="310" t="e">
        <f>+'Zał.1_WPF_bazowy'!#REF!</f>
        <v>#REF!</v>
      </c>
      <c r="AH78" s="310" t="e">
        <f>+'Zał.1_WPF_bazowy'!#REF!</f>
        <v>#REF!</v>
      </c>
      <c r="AI78" s="310" t="e">
        <f>+'Zał.1_WPF_bazowy'!#REF!</f>
        <v>#REF!</v>
      </c>
      <c r="AJ78" s="310" t="e">
        <f>+'Zał.1_WPF_bazowy'!#REF!</f>
        <v>#REF!</v>
      </c>
      <c r="AK78" s="310" t="e">
        <f>+'Zał.1_WPF_bazowy'!#REF!</f>
        <v>#REF!</v>
      </c>
      <c r="AL78" s="311" t="e">
        <f>+'Zał.1_WPF_bazowy'!#REF!</f>
        <v>#REF!</v>
      </c>
    </row>
    <row r="79" spans="1:38" ht="24" outlineLevel="2">
      <c r="A79" s="374"/>
      <c r="B79" s="46" t="s">
        <v>128</v>
      </c>
      <c r="C79" s="257"/>
      <c r="D79" s="356" t="s">
        <v>253</v>
      </c>
      <c r="E79" s="246">
        <f>'Zał.1_WPF_bazowy'!E79</f>
        <v>0</v>
      </c>
      <c r="F79" s="247">
        <f>'Zał.1_WPF_bazowy'!F79</f>
        <v>0</v>
      </c>
      <c r="G79" s="247">
        <f>'Zał.1_WPF_bazowy'!G79</f>
        <v>0</v>
      </c>
      <c r="H79" s="308">
        <f>'Zał.1_WPF_bazowy'!H79</f>
        <v>0</v>
      </c>
      <c r="I79" s="309">
        <f>+'Zał.1_WPF_bazowy'!I79</f>
        <v>188408.32</v>
      </c>
      <c r="J79" s="310">
        <f>+'Zał.1_WPF_bazowy'!J79</f>
        <v>0</v>
      </c>
      <c r="K79" s="310">
        <f>+'Zał.1_WPF_bazowy'!K79</f>
        <v>0</v>
      </c>
      <c r="L79" s="310">
        <f>+'Zał.1_WPF_bazowy'!L79</f>
        <v>0</v>
      </c>
      <c r="M79" s="310">
        <f>+'Zał.1_WPF_bazowy'!M79</f>
        <v>0</v>
      </c>
      <c r="N79" s="310">
        <f>+'Zał.1_WPF_bazowy'!N79</f>
        <v>0</v>
      </c>
      <c r="O79" s="310">
        <f>+'Zał.1_WPF_bazowy'!O79</f>
        <v>0</v>
      </c>
      <c r="P79" s="310">
        <f>+'Zał.1_WPF_bazowy'!P79</f>
        <v>0</v>
      </c>
      <c r="Q79" s="310">
        <f>+'Zał.1_WPF_bazowy'!Q79</f>
        <v>0</v>
      </c>
      <c r="R79" s="310">
        <f>+'Zał.1_WPF_bazowy'!R79</f>
        <v>0</v>
      </c>
      <c r="S79" s="310">
        <f>+'Zał.1_WPF_bazowy'!S79</f>
        <v>0</v>
      </c>
      <c r="T79" s="310">
        <f>+'Zał.1_WPF_bazowy'!T79</f>
        <v>0</v>
      </c>
      <c r="U79" s="310" t="e">
        <f>+'Zał.1_WPF_bazowy'!#REF!</f>
        <v>#REF!</v>
      </c>
      <c r="V79" s="310" t="e">
        <f>+'Zał.1_WPF_bazowy'!#REF!</f>
        <v>#REF!</v>
      </c>
      <c r="W79" s="310" t="e">
        <f>+'Zał.1_WPF_bazowy'!#REF!</f>
        <v>#REF!</v>
      </c>
      <c r="X79" s="310" t="e">
        <f>+'Zał.1_WPF_bazowy'!#REF!</f>
        <v>#REF!</v>
      </c>
      <c r="Y79" s="310" t="e">
        <f>+'Zał.1_WPF_bazowy'!#REF!</f>
        <v>#REF!</v>
      </c>
      <c r="Z79" s="310" t="e">
        <f>+'Zał.1_WPF_bazowy'!#REF!</f>
        <v>#REF!</v>
      </c>
      <c r="AA79" s="310" t="e">
        <f>+'Zał.1_WPF_bazowy'!#REF!</f>
        <v>#REF!</v>
      </c>
      <c r="AB79" s="310" t="e">
        <f>+'Zał.1_WPF_bazowy'!#REF!</f>
        <v>#REF!</v>
      </c>
      <c r="AC79" s="310" t="e">
        <f>+'Zał.1_WPF_bazowy'!#REF!</f>
        <v>#REF!</v>
      </c>
      <c r="AD79" s="310" t="e">
        <f>+'Zał.1_WPF_bazowy'!#REF!</f>
        <v>#REF!</v>
      </c>
      <c r="AE79" s="310" t="e">
        <f>+'Zał.1_WPF_bazowy'!#REF!</f>
        <v>#REF!</v>
      </c>
      <c r="AF79" s="310" t="e">
        <f>+'Zał.1_WPF_bazowy'!#REF!</f>
        <v>#REF!</v>
      </c>
      <c r="AG79" s="310" t="e">
        <f>+'Zał.1_WPF_bazowy'!#REF!</f>
        <v>#REF!</v>
      </c>
      <c r="AH79" s="310" t="e">
        <f>+'Zał.1_WPF_bazowy'!#REF!</f>
        <v>#REF!</v>
      </c>
      <c r="AI79" s="310" t="e">
        <f>+'Zał.1_WPF_bazowy'!#REF!</f>
        <v>#REF!</v>
      </c>
      <c r="AJ79" s="310" t="e">
        <f>+'Zał.1_WPF_bazowy'!#REF!</f>
        <v>#REF!</v>
      </c>
      <c r="AK79" s="310" t="e">
        <f>+'Zał.1_WPF_bazowy'!#REF!</f>
        <v>#REF!</v>
      </c>
      <c r="AL79" s="311" t="e">
        <f>+'Zał.1_WPF_bazowy'!#REF!</f>
        <v>#REF!</v>
      </c>
    </row>
    <row r="80" spans="1:38" ht="24" outlineLevel="2">
      <c r="A80" s="374"/>
      <c r="B80" s="46" t="s">
        <v>197</v>
      </c>
      <c r="C80" s="257"/>
      <c r="D80" s="354" t="s">
        <v>462</v>
      </c>
      <c r="E80" s="246">
        <f>'Zał.1_WPF_bazowy'!E80</f>
        <v>0</v>
      </c>
      <c r="F80" s="247">
        <f>'Zał.1_WPF_bazowy'!F80</f>
        <v>0</v>
      </c>
      <c r="G80" s="247">
        <f>'Zał.1_WPF_bazowy'!G80</f>
        <v>0</v>
      </c>
      <c r="H80" s="308">
        <f>'Zał.1_WPF_bazowy'!H80</f>
        <v>0</v>
      </c>
      <c r="I80" s="309">
        <f>+'Zał.1_WPF_bazowy'!I80</f>
        <v>1132274</v>
      </c>
      <c r="J80" s="310">
        <f>+'Zał.1_WPF_bazowy'!J80</f>
        <v>0</v>
      </c>
      <c r="K80" s="310">
        <f>+'Zał.1_WPF_bazowy'!K80</f>
        <v>0</v>
      </c>
      <c r="L80" s="310">
        <f>+'Zał.1_WPF_bazowy'!L80</f>
        <v>0</v>
      </c>
      <c r="M80" s="310">
        <f>+'Zał.1_WPF_bazowy'!M80</f>
        <v>0</v>
      </c>
      <c r="N80" s="310">
        <f>+'Zał.1_WPF_bazowy'!N80</f>
        <v>0</v>
      </c>
      <c r="O80" s="310">
        <f>+'Zał.1_WPF_bazowy'!O80</f>
        <v>0</v>
      </c>
      <c r="P80" s="310">
        <f>+'Zał.1_WPF_bazowy'!P80</f>
        <v>0</v>
      </c>
      <c r="Q80" s="310">
        <f>+'Zał.1_WPF_bazowy'!Q80</f>
        <v>0</v>
      </c>
      <c r="R80" s="310">
        <f>+'Zał.1_WPF_bazowy'!R80</f>
        <v>0</v>
      </c>
      <c r="S80" s="310">
        <f>+'Zał.1_WPF_bazowy'!S80</f>
        <v>0</v>
      </c>
      <c r="T80" s="310">
        <f>+'Zał.1_WPF_bazowy'!T80</f>
        <v>0</v>
      </c>
      <c r="U80" s="310" t="e">
        <f>+'Zał.1_WPF_bazowy'!#REF!</f>
        <v>#REF!</v>
      </c>
      <c r="V80" s="310" t="e">
        <f>+'Zał.1_WPF_bazowy'!#REF!</f>
        <v>#REF!</v>
      </c>
      <c r="W80" s="310" t="e">
        <f>+'Zał.1_WPF_bazowy'!#REF!</f>
        <v>#REF!</v>
      </c>
      <c r="X80" s="310" t="e">
        <f>+'Zał.1_WPF_bazowy'!#REF!</f>
        <v>#REF!</v>
      </c>
      <c r="Y80" s="310" t="e">
        <f>+'Zał.1_WPF_bazowy'!#REF!</f>
        <v>#REF!</v>
      </c>
      <c r="Z80" s="310" t="e">
        <f>+'Zał.1_WPF_bazowy'!#REF!</f>
        <v>#REF!</v>
      </c>
      <c r="AA80" s="310" t="e">
        <f>+'Zał.1_WPF_bazowy'!#REF!</f>
        <v>#REF!</v>
      </c>
      <c r="AB80" s="310" t="e">
        <f>+'Zał.1_WPF_bazowy'!#REF!</f>
        <v>#REF!</v>
      </c>
      <c r="AC80" s="310" t="e">
        <f>+'Zał.1_WPF_bazowy'!#REF!</f>
        <v>#REF!</v>
      </c>
      <c r="AD80" s="310" t="e">
        <f>+'Zał.1_WPF_bazowy'!#REF!</f>
        <v>#REF!</v>
      </c>
      <c r="AE80" s="310" t="e">
        <f>+'Zał.1_WPF_bazowy'!#REF!</f>
        <v>#REF!</v>
      </c>
      <c r="AF80" s="310" t="e">
        <f>+'Zał.1_WPF_bazowy'!#REF!</f>
        <v>#REF!</v>
      </c>
      <c r="AG80" s="310" t="e">
        <f>+'Zał.1_WPF_bazowy'!#REF!</f>
        <v>#REF!</v>
      </c>
      <c r="AH80" s="310" t="e">
        <f>+'Zał.1_WPF_bazowy'!#REF!</f>
        <v>#REF!</v>
      </c>
      <c r="AI80" s="310" t="e">
        <f>+'Zał.1_WPF_bazowy'!#REF!</f>
        <v>#REF!</v>
      </c>
      <c r="AJ80" s="310" t="e">
        <f>+'Zał.1_WPF_bazowy'!#REF!</f>
        <v>#REF!</v>
      </c>
      <c r="AK80" s="310" t="e">
        <f>+'Zał.1_WPF_bazowy'!#REF!</f>
        <v>#REF!</v>
      </c>
      <c r="AL80" s="311" t="e">
        <f>+'Zał.1_WPF_bazowy'!#REF!</f>
        <v>#REF!</v>
      </c>
    </row>
    <row r="81" spans="1:38" ht="14.25" outlineLevel="2">
      <c r="A81" s="374"/>
      <c r="B81" s="46" t="s">
        <v>131</v>
      </c>
      <c r="C81" s="257"/>
      <c r="D81" s="355" t="s">
        <v>252</v>
      </c>
      <c r="E81" s="246">
        <f>'Zał.1_WPF_bazowy'!E81</f>
        <v>0</v>
      </c>
      <c r="F81" s="247">
        <f>'Zał.1_WPF_bazowy'!F81</f>
        <v>355439.59</v>
      </c>
      <c r="G81" s="247">
        <f>'Zał.1_WPF_bazowy'!G81</f>
        <v>0</v>
      </c>
      <c r="H81" s="308">
        <f>'Zał.1_WPF_bazowy'!H81</f>
        <v>0</v>
      </c>
      <c r="I81" s="309">
        <f>+'Zał.1_WPF_bazowy'!I81</f>
        <v>1132274</v>
      </c>
      <c r="J81" s="310">
        <f>+'Zał.1_WPF_bazowy'!J81</f>
        <v>0</v>
      </c>
      <c r="K81" s="310">
        <f>+'Zał.1_WPF_bazowy'!K81</f>
        <v>0</v>
      </c>
      <c r="L81" s="310">
        <f>+'Zał.1_WPF_bazowy'!L81</f>
        <v>0</v>
      </c>
      <c r="M81" s="310">
        <f>+'Zał.1_WPF_bazowy'!M81</f>
        <v>0</v>
      </c>
      <c r="N81" s="310">
        <f>+'Zał.1_WPF_bazowy'!N81</f>
        <v>0</v>
      </c>
      <c r="O81" s="310">
        <f>+'Zał.1_WPF_bazowy'!O81</f>
        <v>0</v>
      </c>
      <c r="P81" s="310">
        <f>+'Zał.1_WPF_bazowy'!P81</f>
        <v>0</v>
      </c>
      <c r="Q81" s="310">
        <f>+'Zał.1_WPF_bazowy'!Q81</f>
        <v>0</v>
      </c>
      <c r="R81" s="310">
        <f>+'Zał.1_WPF_bazowy'!R81</f>
        <v>0</v>
      </c>
      <c r="S81" s="310">
        <f>+'Zał.1_WPF_bazowy'!S81</f>
        <v>0</v>
      </c>
      <c r="T81" s="310">
        <f>+'Zał.1_WPF_bazowy'!T81</f>
        <v>0</v>
      </c>
      <c r="U81" s="310" t="e">
        <f>+'Zał.1_WPF_bazowy'!#REF!</f>
        <v>#REF!</v>
      </c>
      <c r="V81" s="310" t="e">
        <f>+'Zał.1_WPF_bazowy'!#REF!</f>
        <v>#REF!</v>
      </c>
      <c r="W81" s="310" t="e">
        <f>+'Zał.1_WPF_bazowy'!#REF!</f>
        <v>#REF!</v>
      </c>
      <c r="X81" s="310" t="e">
        <f>+'Zał.1_WPF_bazowy'!#REF!</f>
        <v>#REF!</v>
      </c>
      <c r="Y81" s="310" t="e">
        <f>+'Zał.1_WPF_bazowy'!#REF!</f>
        <v>#REF!</v>
      </c>
      <c r="Z81" s="310" t="e">
        <f>+'Zał.1_WPF_bazowy'!#REF!</f>
        <v>#REF!</v>
      </c>
      <c r="AA81" s="310" t="e">
        <f>+'Zał.1_WPF_bazowy'!#REF!</f>
        <v>#REF!</v>
      </c>
      <c r="AB81" s="310" t="e">
        <f>+'Zał.1_WPF_bazowy'!#REF!</f>
        <v>#REF!</v>
      </c>
      <c r="AC81" s="310" t="e">
        <f>+'Zał.1_WPF_bazowy'!#REF!</f>
        <v>#REF!</v>
      </c>
      <c r="AD81" s="310" t="e">
        <f>+'Zał.1_WPF_bazowy'!#REF!</f>
        <v>#REF!</v>
      </c>
      <c r="AE81" s="310" t="e">
        <f>+'Zał.1_WPF_bazowy'!#REF!</f>
        <v>#REF!</v>
      </c>
      <c r="AF81" s="310" t="e">
        <f>+'Zał.1_WPF_bazowy'!#REF!</f>
        <v>#REF!</v>
      </c>
      <c r="AG81" s="310" t="e">
        <f>+'Zał.1_WPF_bazowy'!#REF!</f>
        <v>#REF!</v>
      </c>
      <c r="AH81" s="310" t="e">
        <f>+'Zał.1_WPF_bazowy'!#REF!</f>
        <v>#REF!</v>
      </c>
      <c r="AI81" s="310" t="e">
        <f>+'Zał.1_WPF_bazowy'!#REF!</f>
        <v>#REF!</v>
      </c>
      <c r="AJ81" s="310" t="e">
        <f>+'Zał.1_WPF_bazowy'!#REF!</f>
        <v>#REF!</v>
      </c>
      <c r="AK81" s="310" t="e">
        <f>+'Zał.1_WPF_bazowy'!#REF!</f>
        <v>#REF!</v>
      </c>
      <c r="AL81" s="311" t="e">
        <f>+'Zał.1_WPF_bazowy'!#REF!</f>
        <v>#REF!</v>
      </c>
    </row>
    <row r="82" spans="1:38" ht="24" outlineLevel="2">
      <c r="A82" s="374"/>
      <c r="B82" s="46" t="s">
        <v>133</v>
      </c>
      <c r="C82" s="257"/>
      <c r="D82" s="356" t="s">
        <v>253</v>
      </c>
      <c r="E82" s="246">
        <f>'Zał.1_WPF_bazowy'!E82</f>
        <v>0</v>
      </c>
      <c r="F82" s="247">
        <f>'Zał.1_WPF_bazowy'!F82</f>
        <v>0</v>
      </c>
      <c r="G82" s="247">
        <f>'Zał.1_WPF_bazowy'!G82</f>
        <v>0</v>
      </c>
      <c r="H82" s="308">
        <f>'Zał.1_WPF_bazowy'!H82</f>
        <v>0</v>
      </c>
      <c r="I82" s="309">
        <f>+'Zał.1_WPF_bazowy'!I82</f>
        <v>1132274</v>
      </c>
      <c r="J82" s="310">
        <f>+'Zał.1_WPF_bazowy'!J82</f>
        <v>0</v>
      </c>
      <c r="K82" s="310">
        <f>+'Zał.1_WPF_bazowy'!K82</f>
        <v>0</v>
      </c>
      <c r="L82" s="310">
        <f>+'Zał.1_WPF_bazowy'!L82</f>
        <v>0</v>
      </c>
      <c r="M82" s="310">
        <f>+'Zał.1_WPF_bazowy'!M82</f>
        <v>0</v>
      </c>
      <c r="N82" s="310">
        <f>+'Zał.1_WPF_bazowy'!N82</f>
        <v>0</v>
      </c>
      <c r="O82" s="310">
        <f>+'Zał.1_WPF_bazowy'!O82</f>
        <v>0</v>
      </c>
      <c r="P82" s="310">
        <f>+'Zał.1_WPF_bazowy'!P82</f>
        <v>0</v>
      </c>
      <c r="Q82" s="310">
        <f>+'Zał.1_WPF_bazowy'!Q82</f>
        <v>0</v>
      </c>
      <c r="R82" s="310">
        <f>+'Zał.1_WPF_bazowy'!R82</f>
        <v>0</v>
      </c>
      <c r="S82" s="310">
        <f>+'Zał.1_WPF_bazowy'!S82</f>
        <v>0</v>
      </c>
      <c r="T82" s="310">
        <f>+'Zał.1_WPF_bazowy'!T82</f>
        <v>0</v>
      </c>
      <c r="U82" s="310" t="e">
        <f>+'Zał.1_WPF_bazowy'!#REF!</f>
        <v>#REF!</v>
      </c>
      <c r="V82" s="310" t="e">
        <f>+'Zał.1_WPF_bazowy'!#REF!</f>
        <v>#REF!</v>
      </c>
      <c r="W82" s="310" t="e">
        <f>+'Zał.1_WPF_bazowy'!#REF!</f>
        <v>#REF!</v>
      </c>
      <c r="X82" s="310" t="e">
        <f>+'Zał.1_WPF_bazowy'!#REF!</f>
        <v>#REF!</v>
      </c>
      <c r="Y82" s="310" t="e">
        <f>+'Zał.1_WPF_bazowy'!#REF!</f>
        <v>#REF!</v>
      </c>
      <c r="Z82" s="310" t="e">
        <f>+'Zał.1_WPF_bazowy'!#REF!</f>
        <v>#REF!</v>
      </c>
      <c r="AA82" s="310" t="e">
        <f>+'Zał.1_WPF_bazowy'!#REF!</f>
        <v>#REF!</v>
      </c>
      <c r="AB82" s="310" t="e">
        <f>+'Zał.1_WPF_bazowy'!#REF!</f>
        <v>#REF!</v>
      </c>
      <c r="AC82" s="310" t="e">
        <f>+'Zał.1_WPF_bazowy'!#REF!</f>
        <v>#REF!</v>
      </c>
      <c r="AD82" s="310" t="e">
        <f>+'Zał.1_WPF_bazowy'!#REF!</f>
        <v>#REF!</v>
      </c>
      <c r="AE82" s="310" t="e">
        <f>+'Zał.1_WPF_bazowy'!#REF!</f>
        <v>#REF!</v>
      </c>
      <c r="AF82" s="310" t="e">
        <f>+'Zał.1_WPF_bazowy'!#REF!</f>
        <v>#REF!</v>
      </c>
      <c r="AG82" s="310" t="e">
        <f>+'Zał.1_WPF_bazowy'!#REF!</f>
        <v>#REF!</v>
      </c>
      <c r="AH82" s="310" t="e">
        <f>+'Zał.1_WPF_bazowy'!#REF!</f>
        <v>#REF!</v>
      </c>
      <c r="AI82" s="310" t="e">
        <f>+'Zał.1_WPF_bazowy'!#REF!</f>
        <v>#REF!</v>
      </c>
      <c r="AJ82" s="310" t="e">
        <f>+'Zał.1_WPF_bazowy'!#REF!</f>
        <v>#REF!</v>
      </c>
      <c r="AK82" s="310" t="e">
        <f>+'Zał.1_WPF_bazowy'!#REF!</f>
        <v>#REF!</v>
      </c>
      <c r="AL82" s="311" t="e">
        <f>+'Zał.1_WPF_bazowy'!#REF!</f>
        <v>#REF!</v>
      </c>
    </row>
    <row r="83" spans="1:38" ht="24" outlineLevel="2">
      <c r="A83" s="374"/>
      <c r="B83" s="46" t="s">
        <v>198</v>
      </c>
      <c r="C83" s="257"/>
      <c r="D83" s="354" t="s">
        <v>254</v>
      </c>
      <c r="E83" s="246">
        <f>'Zał.1_WPF_bazowy'!E83</f>
        <v>0</v>
      </c>
      <c r="F83" s="247">
        <f>'Zał.1_WPF_bazowy'!F83</f>
        <v>0</v>
      </c>
      <c r="G83" s="247">
        <f>'Zał.1_WPF_bazowy'!G83</f>
        <v>0</v>
      </c>
      <c r="H83" s="308">
        <f>'Zał.1_WPF_bazowy'!H83</f>
        <v>0</v>
      </c>
      <c r="I83" s="309">
        <f>+'Zał.1_WPF_bazowy'!I83</f>
        <v>68381.46</v>
      </c>
      <c r="J83" s="310">
        <f>+'Zał.1_WPF_bazowy'!J83</f>
        <v>0</v>
      </c>
      <c r="K83" s="310">
        <f>+'Zał.1_WPF_bazowy'!K83</f>
        <v>0</v>
      </c>
      <c r="L83" s="310">
        <f>+'Zał.1_WPF_bazowy'!L83</f>
        <v>0</v>
      </c>
      <c r="M83" s="310">
        <f>+'Zał.1_WPF_bazowy'!M83</f>
        <v>0</v>
      </c>
      <c r="N83" s="310">
        <f>+'Zał.1_WPF_bazowy'!N83</f>
        <v>0</v>
      </c>
      <c r="O83" s="310">
        <f>+'Zał.1_WPF_bazowy'!O83</f>
        <v>0</v>
      </c>
      <c r="P83" s="310">
        <f>+'Zał.1_WPF_bazowy'!P83</f>
        <v>0</v>
      </c>
      <c r="Q83" s="310">
        <f>+'Zał.1_WPF_bazowy'!Q83</f>
        <v>0</v>
      </c>
      <c r="R83" s="310">
        <f>+'Zał.1_WPF_bazowy'!R83</f>
        <v>0</v>
      </c>
      <c r="S83" s="310">
        <f>+'Zał.1_WPF_bazowy'!S83</f>
        <v>0</v>
      </c>
      <c r="T83" s="310">
        <f>+'Zał.1_WPF_bazowy'!T83</f>
        <v>0</v>
      </c>
      <c r="U83" s="310" t="e">
        <f>+'Zał.1_WPF_bazowy'!#REF!</f>
        <v>#REF!</v>
      </c>
      <c r="V83" s="310" t="e">
        <f>+'Zał.1_WPF_bazowy'!#REF!</f>
        <v>#REF!</v>
      </c>
      <c r="W83" s="310" t="e">
        <f>+'Zał.1_WPF_bazowy'!#REF!</f>
        <v>#REF!</v>
      </c>
      <c r="X83" s="310" t="e">
        <f>+'Zał.1_WPF_bazowy'!#REF!</f>
        <v>#REF!</v>
      </c>
      <c r="Y83" s="310" t="e">
        <f>+'Zał.1_WPF_bazowy'!#REF!</f>
        <v>#REF!</v>
      </c>
      <c r="Z83" s="310" t="e">
        <f>+'Zał.1_WPF_bazowy'!#REF!</f>
        <v>#REF!</v>
      </c>
      <c r="AA83" s="310" t="e">
        <f>+'Zał.1_WPF_bazowy'!#REF!</f>
        <v>#REF!</v>
      </c>
      <c r="AB83" s="310" t="e">
        <f>+'Zał.1_WPF_bazowy'!#REF!</f>
        <v>#REF!</v>
      </c>
      <c r="AC83" s="310" t="e">
        <f>+'Zał.1_WPF_bazowy'!#REF!</f>
        <v>#REF!</v>
      </c>
      <c r="AD83" s="310" t="e">
        <f>+'Zał.1_WPF_bazowy'!#REF!</f>
        <v>#REF!</v>
      </c>
      <c r="AE83" s="310" t="e">
        <f>+'Zał.1_WPF_bazowy'!#REF!</f>
        <v>#REF!</v>
      </c>
      <c r="AF83" s="310" t="e">
        <f>+'Zał.1_WPF_bazowy'!#REF!</f>
        <v>#REF!</v>
      </c>
      <c r="AG83" s="310" t="e">
        <f>+'Zał.1_WPF_bazowy'!#REF!</f>
        <v>#REF!</v>
      </c>
      <c r="AH83" s="310" t="e">
        <f>+'Zał.1_WPF_bazowy'!#REF!</f>
        <v>#REF!</v>
      </c>
      <c r="AI83" s="310" t="e">
        <f>+'Zał.1_WPF_bazowy'!#REF!</f>
        <v>#REF!</v>
      </c>
      <c r="AJ83" s="310" t="e">
        <f>+'Zał.1_WPF_bazowy'!#REF!</f>
        <v>#REF!</v>
      </c>
      <c r="AK83" s="310" t="e">
        <f>+'Zał.1_WPF_bazowy'!#REF!</f>
        <v>#REF!</v>
      </c>
      <c r="AL83" s="311" t="e">
        <f>+'Zał.1_WPF_bazowy'!#REF!</f>
        <v>#REF!</v>
      </c>
    </row>
    <row r="84" spans="1:38" ht="14.25" outlineLevel="2">
      <c r="A84" s="374"/>
      <c r="B84" s="46" t="s">
        <v>136</v>
      </c>
      <c r="C84" s="257"/>
      <c r="D84" s="355" t="s">
        <v>256</v>
      </c>
      <c r="E84" s="246">
        <f>'Zał.1_WPF_bazowy'!E84</f>
        <v>0</v>
      </c>
      <c r="F84" s="247">
        <f>'Zał.1_WPF_bazowy'!F84</f>
        <v>0</v>
      </c>
      <c r="G84" s="247">
        <f>'Zał.1_WPF_bazowy'!G84</f>
        <v>0</v>
      </c>
      <c r="H84" s="308">
        <f>'Zał.1_WPF_bazowy'!H84</f>
        <v>0</v>
      </c>
      <c r="I84" s="309">
        <f>+'Zał.1_WPF_bazowy'!I84</f>
        <v>61201.32</v>
      </c>
      <c r="J84" s="310">
        <f>+'Zał.1_WPF_bazowy'!J84</f>
        <v>0</v>
      </c>
      <c r="K84" s="310">
        <f>+'Zał.1_WPF_bazowy'!K84</f>
        <v>0</v>
      </c>
      <c r="L84" s="310">
        <f>+'Zał.1_WPF_bazowy'!L84</f>
        <v>0</v>
      </c>
      <c r="M84" s="310">
        <f>+'Zał.1_WPF_bazowy'!M84</f>
        <v>0</v>
      </c>
      <c r="N84" s="310">
        <f>+'Zał.1_WPF_bazowy'!N84</f>
        <v>0</v>
      </c>
      <c r="O84" s="310">
        <f>+'Zał.1_WPF_bazowy'!O84</f>
        <v>0</v>
      </c>
      <c r="P84" s="310">
        <f>+'Zał.1_WPF_bazowy'!P84</f>
        <v>0</v>
      </c>
      <c r="Q84" s="310">
        <f>+'Zał.1_WPF_bazowy'!Q84</f>
        <v>0</v>
      </c>
      <c r="R84" s="310">
        <f>+'Zał.1_WPF_bazowy'!R84</f>
        <v>0</v>
      </c>
      <c r="S84" s="310">
        <f>+'Zał.1_WPF_bazowy'!S84</f>
        <v>0</v>
      </c>
      <c r="T84" s="310">
        <f>+'Zał.1_WPF_bazowy'!T84</f>
        <v>0</v>
      </c>
      <c r="U84" s="310" t="e">
        <f>+'Zał.1_WPF_bazowy'!#REF!</f>
        <v>#REF!</v>
      </c>
      <c r="V84" s="310" t="e">
        <f>+'Zał.1_WPF_bazowy'!#REF!</f>
        <v>#REF!</v>
      </c>
      <c r="W84" s="310" t="e">
        <f>+'Zał.1_WPF_bazowy'!#REF!</f>
        <v>#REF!</v>
      </c>
      <c r="X84" s="310" t="e">
        <f>+'Zał.1_WPF_bazowy'!#REF!</f>
        <v>#REF!</v>
      </c>
      <c r="Y84" s="310" t="e">
        <f>+'Zał.1_WPF_bazowy'!#REF!</f>
        <v>#REF!</v>
      </c>
      <c r="Z84" s="310" t="e">
        <f>+'Zał.1_WPF_bazowy'!#REF!</f>
        <v>#REF!</v>
      </c>
      <c r="AA84" s="310" t="e">
        <f>+'Zał.1_WPF_bazowy'!#REF!</f>
        <v>#REF!</v>
      </c>
      <c r="AB84" s="310" t="e">
        <f>+'Zał.1_WPF_bazowy'!#REF!</f>
        <v>#REF!</v>
      </c>
      <c r="AC84" s="310" t="e">
        <f>+'Zał.1_WPF_bazowy'!#REF!</f>
        <v>#REF!</v>
      </c>
      <c r="AD84" s="310" t="e">
        <f>+'Zał.1_WPF_bazowy'!#REF!</f>
        <v>#REF!</v>
      </c>
      <c r="AE84" s="310" t="e">
        <f>+'Zał.1_WPF_bazowy'!#REF!</f>
        <v>#REF!</v>
      </c>
      <c r="AF84" s="310" t="e">
        <f>+'Zał.1_WPF_bazowy'!#REF!</f>
        <v>#REF!</v>
      </c>
      <c r="AG84" s="310" t="e">
        <f>+'Zał.1_WPF_bazowy'!#REF!</f>
        <v>#REF!</v>
      </c>
      <c r="AH84" s="310" t="e">
        <f>+'Zał.1_WPF_bazowy'!#REF!</f>
        <v>#REF!</v>
      </c>
      <c r="AI84" s="310" t="e">
        <f>+'Zał.1_WPF_bazowy'!#REF!</f>
        <v>#REF!</v>
      </c>
      <c r="AJ84" s="310" t="e">
        <f>+'Zał.1_WPF_bazowy'!#REF!</f>
        <v>#REF!</v>
      </c>
      <c r="AK84" s="310" t="e">
        <f>+'Zał.1_WPF_bazowy'!#REF!</f>
        <v>#REF!</v>
      </c>
      <c r="AL84" s="311" t="e">
        <f>+'Zał.1_WPF_bazowy'!#REF!</f>
        <v>#REF!</v>
      </c>
    </row>
    <row r="85" spans="1:38" ht="24" outlineLevel="2">
      <c r="A85" s="374"/>
      <c r="B85" s="46" t="s">
        <v>138</v>
      </c>
      <c r="C85" s="257"/>
      <c r="D85" s="355" t="s">
        <v>255</v>
      </c>
      <c r="E85" s="246">
        <f>'Zał.1_WPF_bazowy'!E85</f>
        <v>0</v>
      </c>
      <c r="F85" s="247">
        <f>'Zał.1_WPF_bazowy'!F85</f>
        <v>0</v>
      </c>
      <c r="G85" s="247">
        <f>'Zał.1_WPF_bazowy'!G85</f>
        <v>0</v>
      </c>
      <c r="H85" s="308">
        <f>'Zał.1_WPF_bazowy'!H85</f>
        <v>0</v>
      </c>
      <c r="I85" s="309">
        <f>+'Zał.1_WPF_bazowy'!I85</f>
        <v>68381.46</v>
      </c>
      <c r="J85" s="310">
        <f>+'Zał.1_WPF_bazowy'!J85</f>
        <v>0</v>
      </c>
      <c r="K85" s="310">
        <f>+'Zał.1_WPF_bazowy'!K85</f>
        <v>0</v>
      </c>
      <c r="L85" s="310">
        <f>+'Zał.1_WPF_bazowy'!L85</f>
        <v>0</v>
      </c>
      <c r="M85" s="310">
        <f>+'Zał.1_WPF_bazowy'!M85</f>
        <v>0</v>
      </c>
      <c r="N85" s="310">
        <f>+'Zał.1_WPF_bazowy'!N85</f>
        <v>0</v>
      </c>
      <c r="O85" s="310">
        <f>+'Zał.1_WPF_bazowy'!O85</f>
        <v>0</v>
      </c>
      <c r="P85" s="310">
        <f>+'Zał.1_WPF_bazowy'!P85</f>
        <v>0</v>
      </c>
      <c r="Q85" s="310">
        <f>+'Zał.1_WPF_bazowy'!Q85</f>
        <v>0</v>
      </c>
      <c r="R85" s="310">
        <f>+'Zał.1_WPF_bazowy'!R85</f>
        <v>0</v>
      </c>
      <c r="S85" s="310">
        <f>+'Zał.1_WPF_bazowy'!S85</f>
        <v>0</v>
      </c>
      <c r="T85" s="310">
        <f>+'Zał.1_WPF_bazowy'!T85</f>
        <v>0</v>
      </c>
      <c r="U85" s="310" t="e">
        <f>+'Zał.1_WPF_bazowy'!#REF!</f>
        <v>#REF!</v>
      </c>
      <c r="V85" s="310" t="e">
        <f>+'Zał.1_WPF_bazowy'!#REF!</f>
        <v>#REF!</v>
      </c>
      <c r="W85" s="310" t="e">
        <f>+'Zał.1_WPF_bazowy'!#REF!</f>
        <v>#REF!</v>
      </c>
      <c r="X85" s="310" t="e">
        <f>+'Zał.1_WPF_bazowy'!#REF!</f>
        <v>#REF!</v>
      </c>
      <c r="Y85" s="310" t="e">
        <f>+'Zał.1_WPF_bazowy'!#REF!</f>
        <v>#REF!</v>
      </c>
      <c r="Z85" s="310" t="e">
        <f>+'Zał.1_WPF_bazowy'!#REF!</f>
        <v>#REF!</v>
      </c>
      <c r="AA85" s="310" t="e">
        <f>+'Zał.1_WPF_bazowy'!#REF!</f>
        <v>#REF!</v>
      </c>
      <c r="AB85" s="310" t="e">
        <f>+'Zał.1_WPF_bazowy'!#REF!</f>
        <v>#REF!</v>
      </c>
      <c r="AC85" s="310" t="e">
        <f>+'Zał.1_WPF_bazowy'!#REF!</f>
        <v>#REF!</v>
      </c>
      <c r="AD85" s="310" t="e">
        <f>+'Zał.1_WPF_bazowy'!#REF!</f>
        <v>#REF!</v>
      </c>
      <c r="AE85" s="310" t="e">
        <f>+'Zał.1_WPF_bazowy'!#REF!</f>
        <v>#REF!</v>
      </c>
      <c r="AF85" s="310" t="e">
        <f>+'Zał.1_WPF_bazowy'!#REF!</f>
        <v>#REF!</v>
      </c>
      <c r="AG85" s="310" t="e">
        <f>+'Zał.1_WPF_bazowy'!#REF!</f>
        <v>#REF!</v>
      </c>
      <c r="AH85" s="310" t="e">
        <f>+'Zał.1_WPF_bazowy'!#REF!</f>
        <v>#REF!</v>
      </c>
      <c r="AI85" s="310" t="e">
        <f>+'Zał.1_WPF_bazowy'!#REF!</f>
        <v>#REF!</v>
      </c>
      <c r="AJ85" s="310" t="e">
        <f>+'Zał.1_WPF_bazowy'!#REF!</f>
        <v>#REF!</v>
      </c>
      <c r="AK85" s="310" t="e">
        <f>+'Zał.1_WPF_bazowy'!#REF!</f>
        <v>#REF!</v>
      </c>
      <c r="AL85" s="311" t="e">
        <f>+'Zał.1_WPF_bazowy'!#REF!</f>
        <v>#REF!</v>
      </c>
    </row>
    <row r="86" spans="1:38" ht="24" outlineLevel="2">
      <c r="A86" s="374"/>
      <c r="B86" s="46" t="s">
        <v>199</v>
      </c>
      <c r="C86" s="257"/>
      <c r="D86" s="354" t="s">
        <v>257</v>
      </c>
      <c r="E86" s="246">
        <f>'Zał.1_WPF_bazowy'!E86</f>
        <v>0</v>
      </c>
      <c r="F86" s="247">
        <f>'Zał.1_WPF_bazowy'!F86</f>
        <v>0</v>
      </c>
      <c r="G86" s="247">
        <f>'Zał.1_WPF_bazowy'!G86</f>
        <v>0</v>
      </c>
      <c r="H86" s="308">
        <f>'Zał.1_WPF_bazowy'!H86</f>
        <v>0</v>
      </c>
      <c r="I86" s="309">
        <f>+'Zał.1_WPF_bazowy'!I86</f>
        <v>95146</v>
      </c>
      <c r="J86" s="310">
        <f>+'Zał.1_WPF_bazowy'!J86</f>
        <v>0</v>
      </c>
      <c r="K86" s="310">
        <f>+'Zał.1_WPF_bazowy'!K86</f>
        <v>0</v>
      </c>
      <c r="L86" s="310">
        <f>+'Zał.1_WPF_bazowy'!L86</f>
        <v>0</v>
      </c>
      <c r="M86" s="310">
        <f>+'Zał.1_WPF_bazowy'!M86</f>
        <v>0</v>
      </c>
      <c r="N86" s="310">
        <f>+'Zał.1_WPF_bazowy'!N86</f>
        <v>0</v>
      </c>
      <c r="O86" s="310">
        <f>+'Zał.1_WPF_bazowy'!O86</f>
        <v>0</v>
      </c>
      <c r="P86" s="310">
        <f>+'Zał.1_WPF_bazowy'!P86</f>
        <v>0</v>
      </c>
      <c r="Q86" s="310">
        <f>+'Zał.1_WPF_bazowy'!Q86</f>
        <v>0</v>
      </c>
      <c r="R86" s="310">
        <f>+'Zał.1_WPF_bazowy'!R86</f>
        <v>0</v>
      </c>
      <c r="S86" s="310">
        <f>+'Zał.1_WPF_bazowy'!S86</f>
        <v>0</v>
      </c>
      <c r="T86" s="310">
        <f>+'Zał.1_WPF_bazowy'!T86</f>
        <v>0</v>
      </c>
      <c r="U86" s="310" t="e">
        <f>+'Zał.1_WPF_bazowy'!#REF!</f>
        <v>#REF!</v>
      </c>
      <c r="V86" s="310" t="e">
        <f>+'Zał.1_WPF_bazowy'!#REF!</f>
        <v>#REF!</v>
      </c>
      <c r="W86" s="310" t="e">
        <f>+'Zał.1_WPF_bazowy'!#REF!</f>
        <v>#REF!</v>
      </c>
      <c r="X86" s="310" t="e">
        <f>+'Zał.1_WPF_bazowy'!#REF!</f>
        <v>#REF!</v>
      </c>
      <c r="Y86" s="310" t="e">
        <f>+'Zał.1_WPF_bazowy'!#REF!</f>
        <v>#REF!</v>
      </c>
      <c r="Z86" s="310" t="e">
        <f>+'Zał.1_WPF_bazowy'!#REF!</f>
        <v>#REF!</v>
      </c>
      <c r="AA86" s="310" t="e">
        <f>+'Zał.1_WPF_bazowy'!#REF!</f>
        <v>#REF!</v>
      </c>
      <c r="AB86" s="310" t="e">
        <f>+'Zał.1_WPF_bazowy'!#REF!</f>
        <v>#REF!</v>
      </c>
      <c r="AC86" s="310" t="e">
        <f>+'Zał.1_WPF_bazowy'!#REF!</f>
        <v>#REF!</v>
      </c>
      <c r="AD86" s="310" t="e">
        <f>+'Zał.1_WPF_bazowy'!#REF!</f>
        <v>#REF!</v>
      </c>
      <c r="AE86" s="310" t="e">
        <f>+'Zał.1_WPF_bazowy'!#REF!</f>
        <v>#REF!</v>
      </c>
      <c r="AF86" s="310" t="e">
        <f>+'Zał.1_WPF_bazowy'!#REF!</f>
        <v>#REF!</v>
      </c>
      <c r="AG86" s="310" t="e">
        <f>+'Zał.1_WPF_bazowy'!#REF!</f>
        <v>#REF!</v>
      </c>
      <c r="AH86" s="310" t="e">
        <f>+'Zał.1_WPF_bazowy'!#REF!</f>
        <v>#REF!</v>
      </c>
      <c r="AI86" s="310" t="e">
        <f>+'Zał.1_WPF_bazowy'!#REF!</f>
        <v>#REF!</v>
      </c>
      <c r="AJ86" s="310" t="e">
        <f>+'Zał.1_WPF_bazowy'!#REF!</f>
        <v>#REF!</v>
      </c>
      <c r="AK86" s="310" t="e">
        <f>+'Zał.1_WPF_bazowy'!#REF!</f>
        <v>#REF!</v>
      </c>
      <c r="AL86" s="311" t="e">
        <f>+'Zał.1_WPF_bazowy'!#REF!</f>
        <v>#REF!</v>
      </c>
    </row>
    <row r="87" spans="1:38" ht="14.25" outlineLevel="2">
      <c r="A87" s="374"/>
      <c r="B87" s="46" t="s">
        <v>141</v>
      </c>
      <c r="C87" s="257"/>
      <c r="D87" s="355" t="s">
        <v>258</v>
      </c>
      <c r="E87" s="246">
        <f>'Zał.1_WPF_bazowy'!E87</f>
        <v>0</v>
      </c>
      <c r="F87" s="247">
        <f>'Zał.1_WPF_bazowy'!F87</f>
        <v>0</v>
      </c>
      <c r="G87" s="247">
        <f>'Zał.1_WPF_bazowy'!G87</f>
        <v>1958798</v>
      </c>
      <c r="H87" s="308">
        <f>'Zał.1_WPF_bazowy'!H87</f>
        <v>1693495.61</v>
      </c>
      <c r="I87" s="309">
        <f>+'Zał.1_WPF_bazowy'!I87</f>
        <v>42947</v>
      </c>
      <c r="J87" s="310">
        <f>+'Zał.1_WPF_bazowy'!J87</f>
        <v>0</v>
      </c>
      <c r="K87" s="310">
        <f>+'Zał.1_WPF_bazowy'!K87</f>
        <v>0</v>
      </c>
      <c r="L87" s="310">
        <f>+'Zał.1_WPF_bazowy'!L87</f>
        <v>0</v>
      </c>
      <c r="M87" s="310">
        <f>+'Zał.1_WPF_bazowy'!M87</f>
        <v>0</v>
      </c>
      <c r="N87" s="310">
        <f>+'Zał.1_WPF_bazowy'!N87</f>
        <v>0</v>
      </c>
      <c r="O87" s="310">
        <f>+'Zał.1_WPF_bazowy'!O87</f>
        <v>0</v>
      </c>
      <c r="P87" s="310">
        <f>+'Zał.1_WPF_bazowy'!P87</f>
        <v>0</v>
      </c>
      <c r="Q87" s="310">
        <f>+'Zał.1_WPF_bazowy'!Q87</f>
        <v>0</v>
      </c>
      <c r="R87" s="310">
        <f>+'Zał.1_WPF_bazowy'!R87</f>
        <v>0</v>
      </c>
      <c r="S87" s="310">
        <f>+'Zał.1_WPF_bazowy'!S87</f>
        <v>0</v>
      </c>
      <c r="T87" s="310">
        <f>+'Zał.1_WPF_bazowy'!T87</f>
        <v>0</v>
      </c>
      <c r="U87" s="310" t="e">
        <f>+'Zał.1_WPF_bazowy'!#REF!</f>
        <v>#REF!</v>
      </c>
      <c r="V87" s="310" t="e">
        <f>+'Zał.1_WPF_bazowy'!#REF!</f>
        <v>#REF!</v>
      </c>
      <c r="W87" s="310" t="e">
        <f>+'Zał.1_WPF_bazowy'!#REF!</f>
        <v>#REF!</v>
      </c>
      <c r="X87" s="310" t="e">
        <f>+'Zał.1_WPF_bazowy'!#REF!</f>
        <v>#REF!</v>
      </c>
      <c r="Y87" s="310" t="e">
        <f>+'Zał.1_WPF_bazowy'!#REF!</f>
        <v>#REF!</v>
      </c>
      <c r="Z87" s="310" t="e">
        <f>+'Zał.1_WPF_bazowy'!#REF!</f>
        <v>#REF!</v>
      </c>
      <c r="AA87" s="310" t="e">
        <f>+'Zał.1_WPF_bazowy'!#REF!</f>
        <v>#REF!</v>
      </c>
      <c r="AB87" s="310" t="e">
        <f>+'Zał.1_WPF_bazowy'!#REF!</f>
        <v>#REF!</v>
      </c>
      <c r="AC87" s="310" t="e">
        <f>+'Zał.1_WPF_bazowy'!#REF!</f>
        <v>#REF!</v>
      </c>
      <c r="AD87" s="310" t="e">
        <f>+'Zał.1_WPF_bazowy'!#REF!</f>
        <v>#REF!</v>
      </c>
      <c r="AE87" s="310" t="e">
        <f>+'Zał.1_WPF_bazowy'!#REF!</f>
        <v>#REF!</v>
      </c>
      <c r="AF87" s="310" t="e">
        <f>+'Zał.1_WPF_bazowy'!#REF!</f>
        <v>#REF!</v>
      </c>
      <c r="AG87" s="310" t="e">
        <f>+'Zał.1_WPF_bazowy'!#REF!</f>
        <v>#REF!</v>
      </c>
      <c r="AH87" s="310" t="e">
        <f>+'Zał.1_WPF_bazowy'!#REF!</f>
        <v>#REF!</v>
      </c>
      <c r="AI87" s="310" t="e">
        <f>+'Zał.1_WPF_bazowy'!#REF!</f>
        <v>#REF!</v>
      </c>
      <c r="AJ87" s="310" t="e">
        <f>+'Zał.1_WPF_bazowy'!#REF!</f>
        <v>#REF!</v>
      </c>
      <c r="AK87" s="310" t="e">
        <f>+'Zał.1_WPF_bazowy'!#REF!</f>
        <v>#REF!</v>
      </c>
      <c r="AL87" s="311" t="e">
        <f>+'Zał.1_WPF_bazowy'!#REF!</f>
        <v>#REF!</v>
      </c>
    </row>
    <row r="88" spans="1:38" ht="24" outlineLevel="2">
      <c r="A88" s="374"/>
      <c r="B88" s="46" t="s">
        <v>143</v>
      </c>
      <c r="C88" s="257"/>
      <c r="D88" s="355" t="s">
        <v>259</v>
      </c>
      <c r="E88" s="246">
        <f>'Zał.1_WPF_bazowy'!E88</f>
        <v>0</v>
      </c>
      <c r="F88" s="247">
        <f>'Zał.1_WPF_bazowy'!F88</f>
        <v>0</v>
      </c>
      <c r="G88" s="247">
        <f>'Zał.1_WPF_bazowy'!G88</f>
        <v>0</v>
      </c>
      <c r="H88" s="308">
        <f>'Zał.1_WPF_bazowy'!H88</f>
        <v>0</v>
      </c>
      <c r="I88" s="309">
        <f>+'Zał.1_WPF_bazowy'!I88</f>
        <v>95146</v>
      </c>
      <c r="J88" s="310">
        <f>+'Zał.1_WPF_bazowy'!J88</f>
        <v>0</v>
      </c>
      <c r="K88" s="310">
        <f>+'Zał.1_WPF_bazowy'!K88</f>
        <v>0</v>
      </c>
      <c r="L88" s="310">
        <f>+'Zał.1_WPF_bazowy'!L88</f>
        <v>0</v>
      </c>
      <c r="M88" s="310">
        <f>+'Zał.1_WPF_bazowy'!M88</f>
        <v>0</v>
      </c>
      <c r="N88" s="310">
        <f>+'Zał.1_WPF_bazowy'!N88</f>
        <v>0</v>
      </c>
      <c r="O88" s="310">
        <f>+'Zał.1_WPF_bazowy'!O88</f>
        <v>0</v>
      </c>
      <c r="P88" s="310">
        <f>+'Zał.1_WPF_bazowy'!P88</f>
        <v>0</v>
      </c>
      <c r="Q88" s="310">
        <f>+'Zał.1_WPF_bazowy'!Q88</f>
        <v>0</v>
      </c>
      <c r="R88" s="310">
        <f>+'Zał.1_WPF_bazowy'!R88</f>
        <v>0</v>
      </c>
      <c r="S88" s="310">
        <f>+'Zał.1_WPF_bazowy'!S88</f>
        <v>0</v>
      </c>
      <c r="T88" s="310">
        <f>+'Zał.1_WPF_bazowy'!T88</f>
        <v>0</v>
      </c>
      <c r="U88" s="310" t="e">
        <f>+'Zał.1_WPF_bazowy'!#REF!</f>
        <v>#REF!</v>
      </c>
      <c r="V88" s="310" t="e">
        <f>+'Zał.1_WPF_bazowy'!#REF!</f>
        <v>#REF!</v>
      </c>
      <c r="W88" s="310" t="e">
        <f>+'Zał.1_WPF_bazowy'!#REF!</f>
        <v>#REF!</v>
      </c>
      <c r="X88" s="310" t="e">
        <f>+'Zał.1_WPF_bazowy'!#REF!</f>
        <v>#REF!</v>
      </c>
      <c r="Y88" s="310" t="e">
        <f>+'Zał.1_WPF_bazowy'!#REF!</f>
        <v>#REF!</v>
      </c>
      <c r="Z88" s="310" t="e">
        <f>+'Zał.1_WPF_bazowy'!#REF!</f>
        <v>#REF!</v>
      </c>
      <c r="AA88" s="310" t="e">
        <f>+'Zał.1_WPF_bazowy'!#REF!</f>
        <v>#REF!</v>
      </c>
      <c r="AB88" s="310" t="e">
        <f>+'Zał.1_WPF_bazowy'!#REF!</f>
        <v>#REF!</v>
      </c>
      <c r="AC88" s="310" t="e">
        <f>+'Zał.1_WPF_bazowy'!#REF!</f>
        <v>#REF!</v>
      </c>
      <c r="AD88" s="310" t="e">
        <f>+'Zał.1_WPF_bazowy'!#REF!</f>
        <v>#REF!</v>
      </c>
      <c r="AE88" s="310" t="e">
        <f>+'Zał.1_WPF_bazowy'!#REF!</f>
        <v>#REF!</v>
      </c>
      <c r="AF88" s="310" t="e">
        <f>+'Zał.1_WPF_bazowy'!#REF!</f>
        <v>#REF!</v>
      </c>
      <c r="AG88" s="310" t="e">
        <f>+'Zał.1_WPF_bazowy'!#REF!</f>
        <v>#REF!</v>
      </c>
      <c r="AH88" s="310" t="e">
        <f>+'Zał.1_WPF_bazowy'!#REF!</f>
        <v>#REF!</v>
      </c>
      <c r="AI88" s="310" t="e">
        <f>+'Zał.1_WPF_bazowy'!#REF!</f>
        <v>#REF!</v>
      </c>
      <c r="AJ88" s="310" t="e">
        <f>+'Zał.1_WPF_bazowy'!#REF!</f>
        <v>#REF!</v>
      </c>
      <c r="AK88" s="310" t="e">
        <f>+'Zał.1_WPF_bazowy'!#REF!</f>
        <v>#REF!</v>
      </c>
      <c r="AL88" s="311" t="e">
        <f>+'Zał.1_WPF_bazowy'!#REF!</f>
        <v>#REF!</v>
      </c>
    </row>
    <row r="89" spans="1:38" s="142" customFormat="1" ht="24" outlineLevel="1">
      <c r="A89" s="374"/>
      <c r="B89" s="45">
        <v>13</v>
      </c>
      <c r="C89" s="256"/>
      <c r="D89" s="351" t="s">
        <v>145</v>
      </c>
      <c r="E89" s="252" t="s">
        <v>31</v>
      </c>
      <c r="F89" s="253" t="s">
        <v>31</v>
      </c>
      <c r="G89" s="253" t="s">
        <v>31</v>
      </c>
      <c r="H89" s="320" t="s">
        <v>31</v>
      </c>
      <c r="I89" s="321" t="s">
        <v>31</v>
      </c>
      <c r="J89" s="322" t="s">
        <v>31</v>
      </c>
      <c r="K89" s="322" t="s">
        <v>31</v>
      </c>
      <c r="L89" s="322" t="s">
        <v>31</v>
      </c>
      <c r="M89" s="322" t="s">
        <v>31</v>
      </c>
      <c r="N89" s="322" t="s">
        <v>31</v>
      </c>
      <c r="O89" s="322" t="s">
        <v>31</v>
      </c>
      <c r="P89" s="322" t="s">
        <v>31</v>
      </c>
      <c r="Q89" s="322" t="s">
        <v>31</v>
      </c>
      <c r="R89" s="322" t="s">
        <v>31</v>
      </c>
      <c r="S89" s="322" t="s">
        <v>31</v>
      </c>
      <c r="T89" s="322" t="s">
        <v>31</v>
      </c>
      <c r="U89" s="322" t="s">
        <v>31</v>
      </c>
      <c r="V89" s="322" t="s">
        <v>31</v>
      </c>
      <c r="W89" s="322" t="s">
        <v>31</v>
      </c>
      <c r="X89" s="322" t="s">
        <v>31</v>
      </c>
      <c r="Y89" s="322" t="s">
        <v>31</v>
      </c>
      <c r="Z89" s="322" t="s">
        <v>31</v>
      </c>
      <c r="AA89" s="322" t="s">
        <v>31</v>
      </c>
      <c r="AB89" s="322" t="s">
        <v>31</v>
      </c>
      <c r="AC89" s="322" t="s">
        <v>31</v>
      </c>
      <c r="AD89" s="322" t="s">
        <v>31</v>
      </c>
      <c r="AE89" s="322" t="s">
        <v>31</v>
      </c>
      <c r="AF89" s="322" t="s">
        <v>31</v>
      </c>
      <c r="AG89" s="322" t="s">
        <v>31</v>
      </c>
      <c r="AH89" s="322" t="s">
        <v>31</v>
      </c>
      <c r="AI89" s="322" t="s">
        <v>31</v>
      </c>
      <c r="AJ89" s="322" t="s">
        <v>31</v>
      </c>
      <c r="AK89" s="322" t="s">
        <v>31</v>
      </c>
      <c r="AL89" s="323" t="s">
        <v>31</v>
      </c>
    </row>
    <row r="90" spans="1:38" ht="24" outlineLevel="2">
      <c r="A90" s="374"/>
      <c r="B90" s="46" t="s">
        <v>200</v>
      </c>
      <c r="C90" s="257"/>
      <c r="D90" s="354" t="s">
        <v>260</v>
      </c>
      <c r="E90" s="246">
        <f>'Zał.1_WPF_bazowy'!E90</f>
        <v>0</v>
      </c>
      <c r="F90" s="247">
        <f>'Zał.1_WPF_bazowy'!F90</f>
        <v>0</v>
      </c>
      <c r="G90" s="247">
        <f>'Zał.1_WPF_bazowy'!G90</f>
        <v>0</v>
      </c>
      <c r="H90" s="308">
        <f>'Zał.1_WPF_bazowy'!H90</f>
        <v>0</v>
      </c>
      <c r="I90" s="324">
        <f>+IF(I10&lt;&gt;0,H90-(I92+I93+I94+I95),0)</f>
        <v>0</v>
      </c>
      <c r="J90" s="325">
        <f aca="true" t="shared" si="21" ref="J90:AL90">+IF(J10&lt;&gt;0,I90-(J92+J93+J94+J95),0)</f>
        <v>0</v>
      </c>
      <c r="K90" s="325">
        <f t="shared" si="21"/>
        <v>0</v>
      </c>
      <c r="L90" s="325">
        <f t="shared" si="21"/>
        <v>0</v>
      </c>
      <c r="M90" s="325">
        <f t="shared" si="21"/>
        <v>0</v>
      </c>
      <c r="N90" s="325">
        <f t="shared" si="21"/>
        <v>0</v>
      </c>
      <c r="O90" s="325">
        <f t="shared" si="21"/>
        <v>0</v>
      </c>
      <c r="P90" s="325">
        <f t="shared" si="21"/>
        <v>0</v>
      </c>
      <c r="Q90" s="325">
        <f t="shared" si="21"/>
        <v>0</v>
      </c>
      <c r="R90" s="325">
        <f t="shared" si="21"/>
        <v>0</v>
      </c>
      <c r="S90" s="325">
        <f t="shared" si="21"/>
        <v>0</v>
      </c>
      <c r="T90" s="325">
        <f t="shared" si="21"/>
        <v>0</v>
      </c>
      <c r="U90" s="325" t="e">
        <f t="shared" si="21"/>
        <v>#REF!</v>
      </c>
      <c r="V90" s="325" t="e">
        <f t="shared" si="21"/>
        <v>#REF!</v>
      </c>
      <c r="W90" s="325" t="e">
        <f t="shared" si="21"/>
        <v>#REF!</v>
      </c>
      <c r="X90" s="325" t="e">
        <f t="shared" si="21"/>
        <v>#REF!</v>
      </c>
      <c r="Y90" s="325" t="e">
        <f t="shared" si="21"/>
        <v>#REF!</v>
      </c>
      <c r="Z90" s="325" t="e">
        <f t="shared" si="21"/>
        <v>#REF!</v>
      </c>
      <c r="AA90" s="325" t="e">
        <f t="shared" si="21"/>
        <v>#REF!</v>
      </c>
      <c r="AB90" s="325" t="e">
        <f t="shared" si="21"/>
        <v>#REF!</v>
      </c>
      <c r="AC90" s="325" t="e">
        <f t="shared" si="21"/>
        <v>#REF!</v>
      </c>
      <c r="AD90" s="325" t="e">
        <f t="shared" si="21"/>
        <v>#REF!</v>
      </c>
      <c r="AE90" s="325" t="e">
        <f t="shared" si="21"/>
        <v>#REF!</v>
      </c>
      <c r="AF90" s="325" t="e">
        <f t="shared" si="21"/>
        <v>#REF!</v>
      </c>
      <c r="AG90" s="325" t="e">
        <f t="shared" si="21"/>
        <v>#REF!</v>
      </c>
      <c r="AH90" s="325" t="e">
        <f t="shared" si="21"/>
        <v>#REF!</v>
      </c>
      <c r="AI90" s="325" t="e">
        <f t="shared" si="21"/>
        <v>#REF!</v>
      </c>
      <c r="AJ90" s="325" t="e">
        <f t="shared" si="21"/>
        <v>#REF!</v>
      </c>
      <c r="AK90" s="325" t="e">
        <f t="shared" si="21"/>
        <v>#REF!</v>
      </c>
      <c r="AL90" s="326" t="e">
        <f t="shared" si="21"/>
        <v>#REF!</v>
      </c>
    </row>
    <row r="91" spans="1:38" ht="24" outlineLevel="2">
      <c r="A91" s="374"/>
      <c r="B91" s="46" t="s">
        <v>201</v>
      </c>
      <c r="C91" s="257"/>
      <c r="D91" s="354" t="s">
        <v>463</v>
      </c>
      <c r="E91" s="246">
        <f>'Zał.1_WPF_bazowy'!E91</f>
        <v>0</v>
      </c>
      <c r="F91" s="247">
        <f>'Zał.1_WPF_bazowy'!F91</f>
        <v>0</v>
      </c>
      <c r="G91" s="247">
        <f>'Zał.1_WPF_bazowy'!G91</f>
        <v>0</v>
      </c>
      <c r="H91" s="308">
        <f>'Zał.1_WPF_bazowy'!H91</f>
        <v>0</v>
      </c>
      <c r="I91" s="309">
        <f>+'Zał.1_WPF_bazowy'!I91</f>
        <v>0</v>
      </c>
      <c r="J91" s="310">
        <f>+'Zał.1_WPF_bazowy'!J91</f>
        <v>0</v>
      </c>
      <c r="K91" s="310">
        <f>+'Zał.1_WPF_bazowy'!K91</f>
        <v>0</v>
      </c>
      <c r="L91" s="310">
        <f>+'Zał.1_WPF_bazowy'!L91</f>
        <v>0</v>
      </c>
      <c r="M91" s="310">
        <f>+'Zał.1_WPF_bazowy'!M91</f>
        <v>0</v>
      </c>
      <c r="N91" s="310">
        <f>+'Zał.1_WPF_bazowy'!N91</f>
        <v>0</v>
      </c>
      <c r="O91" s="310">
        <f>+'Zał.1_WPF_bazowy'!O91</f>
        <v>0</v>
      </c>
      <c r="P91" s="310">
        <f>+'Zał.1_WPF_bazowy'!P91</f>
        <v>0</v>
      </c>
      <c r="Q91" s="310">
        <f>+'Zał.1_WPF_bazowy'!Q91</f>
        <v>0</v>
      </c>
      <c r="R91" s="310">
        <f>+'Zał.1_WPF_bazowy'!R91</f>
        <v>0</v>
      </c>
      <c r="S91" s="310">
        <f>+'Zał.1_WPF_bazowy'!S91</f>
        <v>0</v>
      </c>
      <c r="T91" s="310">
        <f>+'Zał.1_WPF_bazowy'!T91</f>
        <v>0</v>
      </c>
      <c r="U91" s="310" t="e">
        <f>+'Zał.1_WPF_bazowy'!#REF!</f>
        <v>#REF!</v>
      </c>
      <c r="V91" s="310" t="e">
        <f>+'Zał.1_WPF_bazowy'!#REF!</f>
        <v>#REF!</v>
      </c>
      <c r="W91" s="310" t="e">
        <f>+'Zał.1_WPF_bazowy'!#REF!</f>
        <v>#REF!</v>
      </c>
      <c r="X91" s="310" t="e">
        <f>+'Zał.1_WPF_bazowy'!#REF!</f>
        <v>#REF!</v>
      </c>
      <c r="Y91" s="310" t="e">
        <f>+'Zał.1_WPF_bazowy'!#REF!</f>
        <v>#REF!</v>
      </c>
      <c r="Z91" s="310" t="e">
        <f>+'Zał.1_WPF_bazowy'!#REF!</f>
        <v>#REF!</v>
      </c>
      <c r="AA91" s="310" t="e">
        <f>+'Zał.1_WPF_bazowy'!#REF!</f>
        <v>#REF!</v>
      </c>
      <c r="AB91" s="310" t="e">
        <f>+'Zał.1_WPF_bazowy'!#REF!</f>
        <v>#REF!</v>
      </c>
      <c r="AC91" s="310" t="e">
        <f>+'Zał.1_WPF_bazowy'!#REF!</f>
        <v>#REF!</v>
      </c>
      <c r="AD91" s="310" t="e">
        <f>+'Zał.1_WPF_bazowy'!#REF!</f>
        <v>#REF!</v>
      </c>
      <c r="AE91" s="310" t="e">
        <f>+'Zał.1_WPF_bazowy'!#REF!</f>
        <v>#REF!</v>
      </c>
      <c r="AF91" s="310" t="e">
        <f>+'Zał.1_WPF_bazowy'!#REF!</f>
        <v>#REF!</v>
      </c>
      <c r="AG91" s="310" t="e">
        <f>+'Zał.1_WPF_bazowy'!#REF!</f>
        <v>#REF!</v>
      </c>
      <c r="AH91" s="310" t="e">
        <f>+'Zał.1_WPF_bazowy'!#REF!</f>
        <v>#REF!</v>
      </c>
      <c r="AI91" s="310" t="e">
        <f>+'Zał.1_WPF_bazowy'!#REF!</f>
        <v>#REF!</v>
      </c>
      <c r="AJ91" s="310" t="e">
        <f>+'Zał.1_WPF_bazowy'!#REF!</f>
        <v>#REF!</v>
      </c>
      <c r="AK91" s="310" t="e">
        <f>+'Zał.1_WPF_bazowy'!#REF!</f>
        <v>#REF!</v>
      </c>
      <c r="AL91" s="311" t="e">
        <f>+'Zał.1_WPF_bazowy'!#REF!</f>
        <v>#REF!</v>
      </c>
    </row>
    <row r="92" spans="1:38" ht="14.25" outlineLevel="2">
      <c r="A92" s="374"/>
      <c r="B92" s="46" t="s">
        <v>202</v>
      </c>
      <c r="C92" s="257"/>
      <c r="D92" s="354" t="s">
        <v>261</v>
      </c>
      <c r="E92" s="246">
        <f>'Zał.1_WPF_bazowy'!E92</f>
        <v>0</v>
      </c>
      <c r="F92" s="247">
        <f>'Zał.1_WPF_bazowy'!F92</f>
        <v>0</v>
      </c>
      <c r="G92" s="247">
        <f>'Zał.1_WPF_bazowy'!G92</f>
        <v>0</v>
      </c>
      <c r="H92" s="308">
        <f>'Zał.1_WPF_bazowy'!H92</f>
        <v>0</v>
      </c>
      <c r="I92" s="309">
        <f>+'Zał.1_WPF_bazowy'!I92</f>
        <v>0</v>
      </c>
      <c r="J92" s="310">
        <f>+'Zał.1_WPF_bazowy'!J92</f>
        <v>0</v>
      </c>
      <c r="K92" s="310">
        <f>+'Zał.1_WPF_bazowy'!K92</f>
        <v>0</v>
      </c>
      <c r="L92" s="310">
        <f>+'Zał.1_WPF_bazowy'!L92</f>
        <v>0</v>
      </c>
      <c r="M92" s="310">
        <f>+'Zał.1_WPF_bazowy'!M92</f>
        <v>0</v>
      </c>
      <c r="N92" s="310">
        <f>+'Zał.1_WPF_bazowy'!N92</f>
        <v>0</v>
      </c>
      <c r="O92" s="310">
        <f>+'Zał.1_WPF_bazowy'!O92</f>
        <v>0</v>
      </c>
      <c r="P92" s="310">
        <f>+'Zał.1_WPF_bazowy'!P92</f>
        <v>0</v>
      </c>
      <c r="Q92" s="310">
        <f>+'Zał.1_WPF_bazowy'!Q92</f>
        <v>0</v>
      </c>
      <c r="R92" s="310">
        <f>+'Zał.1_WPF_bazowy'!R92</f>
        <v>0</v>
      </c>
      <c r="S92" s="310">
        <f>+'Zał.1_WPF_bazowy'!S92</f>
        <v>0</v>
      </c>
      <c r="T92" s="310">
        <f>+'Zał.1_WPF_bazowy'!T92</f>
        <v>0</v>
      </c>
      <c r="U92" s="310" t="e">
        <f>+'Zał.1_WPF_bazowy'!#REF!</f>
        <v>#REF!</v>
      </c>
      <c r="V92" s="310" t="e">
        <f>+'Zał.1_WPF_bazowy'!#REF!</f>
        <v>#REF!</v>
      </c>
      <c r="W92" s="310" t="e">
        <f>+'Zał.1_WPF_bazowy'!#REF!</f>
        <v>#REF!</v>
      </c>
      <c r="X92" s="310" t="e">
        <f>+'Zał.1_WPF_bazowy'!#REF!</f>
        <v>#REF!</v>
      </c>
      <c r="Y92" s="310" t="e">
        <f>+'Zał.1_WPF_bazowy'!#REF!</f>
        <v>#REF!</v>
      </c>
      <c r="Z92" s="310" t="e">
        <f>+'Zał.1_WPF_bazowy'!#REF!</f>
        <v>#REF!</v>
      </c>
      <c r="AA92" s="310" t="e">
        <f>+'Zał.1_WPF_bazowy'!#REF!</f>
        <v>#REF!</v>
      </c>
      <c r="AB92" s="310" t="e">
        <f>+'Zał.1_WPF_bazowy'!#REF!</f>
        <v>#REF!</v>
      </c>
      <c r="AC92" s="310" t="e">
        <f>+'Zał.1_WPF_bazowy'!#REF!</f>
        <v>#REF!</v>
      </c>
      <c r="AD92" s="310" t="e">
        <f>+'Zał.1_WPF_bazowy'!#REF!</f>
        <v>#REF!</v>
      </c>
      <c r="AE92" s="310" t="e">
        <f>+'Zał.1_WPF_bazowy'!#REF!</f>
        <v>#REF!</v>
      </c>
      <c r="AF92" s="310" t="e">
        <f>+'Zał.1_WPF_bazowy'!#REF!</f>
        <v>#REF!</v>
      </c>
      <c r="AG92" s="310" t="e">
        <f>+'Zał.1_WPF_bazowy'!#REF!</f>
        <v>#REF!</v>
      </c>
      <c r="AH92" s="310" t="e">
        <f>+'Zał.1_WPF_bazowy'!#REF!</f>
        <v>#REF!</v>
      </c>
      <c r="AI92" s="310" t="e">
        <f>+'Zał.1_WPF_bazowy'!#REF!</f>
        <v>#REF!</v>
      </c>
      <c r="AJ92" s="310" t="e">
        <f>+'Zał.1_WPF_bazowy'!#REF!</f>
        <v>#REF!</v>
      </c>
      <c r="AK92" s="310" t="e">
        <f>+'Zał.1_WPF_bazowy'!#REF!</f>
        <v>#REF!</v>
      </c>
      <c r="AL92" s="311" t="e">
        <f>+'Zał.1_WPF_bazowy'!#REF!</f>
        <v>#REF!</v>
      </c>
    </row>
    <row r="93" spans="1:38" ht="24" outlineLevel="2">
      <c r="A93" s="374"/>
      <c r="B93" s="46" t="s">
        <v>203</v>
      </c>
      <c r="C93" s="257"/>
      <c r="D93" s="354" t="s">
        <v>464</v>
      </c>
      <c r="E93" s="246">
        <f>'Zał.1_WPF_bazowy'!E93</f>
        <v>0</v>
      </c>
      <c r="F93" s="247">
        <f>'Zał.1_WPF_bazowy'!F93</f>
        <v>0</v>
      </c>
      <c r="G93" s="247">
        <f>'Zał.1_WPF_bazowy'!G93</f>
        <v>0</v>
      </c>
      <c r="H93" s="308">
        <f>'Zał.1_WPF_bazowy'!H93</f>
        <v>0</v>
      </c>
      <c r="I93" s="309">
        <f>+'Zał.1_WPF_bazowy'!I93</f>
        <v>0</v>
      </c>
      <c r="J93" s="310">
        <f>+'Zał.1_WPF_bazowy'!J93</f>
        <v>0</v>
      </c>
      <c r="K93" s="310">
        <f>+'Zał.1_WPF_bazowy'!K93</f>
        <v>0</v>
      </c>
      <c r="L93" s="310">
        <f>+'Zał.1_WPF_bazowy'!L93</f>
        <v>0</v>
      </c>
      <c r="M93" s="310">
        <f>+'Zał.1_WPF_bazowy'!M93</f>
        <v>0</v>
      </c>
      <c r="N93" s="310">
        <f>+'Zał.1_WPF_bazowy'!N93</f>
        <v>0</v>
      </c>
      <c r="O93" s="310">
        <f>+'Zał.1_WPF_bazowy'!O93</f>
        <v>0</v>
      </c>
      <c r="P93" s="310">
        <f>+'Zał.1_WPF_bazowy'!P93</f>
        <v>0</v>
      </c>
      <c r="Q93" s="310">
        <f>+'Zał.1_WPF_bazowy'!Q93</f>
        <v>0</v>
      </c>
      <c r="R93" s="310">
        <f>+'Zał.1_WPF_bazowy'!R93</f>
        <v>0</v>
      </c>
      <c r="S93" s="310">
        <f>+'Zał.1_WPF_bazowy'!S93</f>
        <v>0</v>
      </c>
      <c r="T93" s="310">
        <f>+'Zał.1_WPF_bazowy'!T93</f>
        <v>0</v>
      </c>
      <c r="U93" s="310" t="e">
        <f>+'Zał.1_WPF_bazowy'!#REF!</f>
        <v>#REF!</v>
      </c>
      <c r="V93" s="310" t="e">
        <f>+'Zał.1_WPF_bazowy'!#REF!</f>
        <v>#REF!</v>
      </c>
      <c r="W93" s="310" t="e">
        <f>+'Zał.1_WPF_bazowy'!#REF!</f>
        <v>#REF!</v>
      </c>
      <c r="X93" s="310" t="e">
        <f>+'Zał.1_WPF_bazowy'!#REF!</f>
        <v>#REF!</v>
      </c>
      <c r="Y93" s="310" t="e">
        <f>+'Zał.1_WPF_bazowy'!#REF!</f>
        <v>#REF!</v>
      </c>
      <c r="Z93" s="310" t="e">
        <f>+'Zał.1_WPF_bazowy'!#REF!</f>
        <v>#REF!</v>
      </c>
      <c r="AA93" s="310" t="e">
        <f>+'Zał.1_WPF_bazowy'!#REF!</f>
        <v>#REF!</v>
      </c>
      <c r="AB93" s="310" t="e">
        <f>+'Zał.1_WPF_bazowy'!#REF!</f>
        <v>#REF!</v>
      </c>
      <c r="AC93" s="310" t="e">
        <f>+'Zał.1_WPF_bazowy'!#REF!</f>
        <v>#REF!</v>
      </c>
      <c r="AD93" s="310" t="e">
        <f>+'Zał.1_WPF_bazowy'!#REF!</f>
        <v>#REF!</v>
      </c>
      <c r="AE93" s="310" t="e">
        <f>+'Zał.1_WPF_bazowy'!#REF!</f>
        <v>#REF!</v>
      </c>
      <c r="AF93" s="310" t="e">
        <f>+'Zał.1_WPF_bazowy'!#REF!</f>
        <v>#REF!</v>
      </c>
      <c r="AG93" s="310" t="e">
        <f>+'Zał.1_WPF_bazowy'!#REF!</f>
        <v>#REF!</v>
      </c>
      <c r="AH93" s="310" t="e">
        <f>+'Zał.1_WPF_bazowy'!#REF!</f>
        <v>#REF!</v>
      </c>
      <c r="AI93" s="310" t="e">
        <f>+'Zał.1_WPF_bazowy'!#REF!</f>
        <v>#REF!</v>
      </c>
      <c r="AJ93" s="310" t="e">
        <f>+'Zał.1_WPF_bazowy'!#REF!</f>
        <v>#REF!</v>
      </c>
      <c r="AK93" s="310" t="e">
        <f>+'Zał.1_WPF_bazowy'!#REF!</f>
        <v>#REF!</v>
      </c>
      <c r="AL93" s="311" t="e">
        <f>+'Zał.1_WPF_bazowy'!#REF!</f>
        <v>#REF!</v>
      </c>
    </row>
    <row r="94" spans="1:38" ht="24" outlineLevel="2">
      <c r="A94" s="374"/>
      <c r="B94" s="46" t="s">
        <v>204</v>
      </c>
      <c r="C94" s="257"/>
      <c r="D94" s="354" t="s">
        <v>465</v>
      </c>
      <c r="E94" s="246">
        <f>'Zał.1_WPF_bazowy'!E94</f>
        <v>0</v>
      </c>
      <c r="F94" s="247">
        <f>'Zał.1_WPF_bazowy'!F94</f>
        <v>0</v>
      </c>
      <c r="G94" s="247">
        <f>'Zał.1_WPF_bazowy'!G94</f>
        <v>0</v>
      </c>
      <c r="H94" s="308">
        <f>'Zał.1_WPF_bazowy'!H94</f>
        <v>0</v>
      </c>
      <c r="I94" s="309">
        <f>+'Zał.1_WPF_bazowy'!I94</f>
        <v>0</v>
      </c>
      <c r="J94" s="310">
        <f>+'Zał.1_WPF_bazowy'!J94</f>
        <v>0</v>
      </c>
      <c r="K94" s="310">
        <f>+'Zał.1_WPF_bazowy'!K94</f>
        <v>0</v>
      </c>
      <c r="L94" s="310">
        <f>+'Zał.1_WPF_bazowy'!L94</f>
        <v>0</v>
      </c>
      <c r="M94" s="310">
        <f>+'Zał.1_WPF_bazowy'!M94</f>
        <v>0</v>
      </c>
      <c r="N94" s="310">
        <f>+'Zał.1_WPF_bazowy'!N94</f>
        <v>0</v>
      </c>
      <c r="O94" s="310">
        <f>+'Zał.1_WPF_bazowy'!O94</f>
        <v>0</v>
      </c>
      <c r="P94" s="310">
        <f>+'Zał.1_WPF_bazowy'!P94</f>
        <v>0</v>
      </c>
      <c r="Q94" s="310">
        <f>+'Zał.1_WPF_bazowy'!Q94</f>
        <v>0</v>
      </c>
      <c r="R94" s="310">
        <f>+'Zał.1_WPF_bazowy'!R94</f>
        <v>0</v>
      </c>
      <c r="S94" s="310">
        <f>+'Zał.1_WPF_bazowy'!S94</f>
        <v>0</v>
      </c>
      <c r="T94" s="310">
        <f>+'Zał.1_WPF_bazowy'!T94</f>
        <v>0</v>
      </c>
      <c r="U94" s="310" t="e">
        <f>+'Zał.1_WPF_bazowy'!#REF!</f>
        <v>#REF!</v>
      </c>
      <c r="V94" s="310" t="e">
        <f>+'Zał.1_WPF_bazowy'!#REF!</f>
        <v>#REF!</v>
      </c>
      <c r="W94" s="310" t="e">
        <f>+'Zał.1_WPF_bazowy'!#REF!</f>
        <v>#REF!</v>
      </c>
      <c r="X94" s="310" t="e">
        <f>+'Zał.1_WPF_bazowy'!#REF!</f>
        <v>#REF!</v>
      </c>
      <c r="Y94" s="310" t="e">
        <f>+'Zał.1_WPF_bazowy'!#REF!</f>
        <v>#REF!</v>
      </c>
      <c r="Z94" s="310" t="e">
        <f>+'Zał.1_WPF_bazowy'!#REF!</f>
        <v>#REF!</v>
      </c>
      <c r="AA94" s="310" t="e">
        <f>+'Zał.1_WPF_bazowy'!#REF!</f>
        <v>#REF!</v>
      </c>
      <c r="AB94" s="310" t="e">
        <f>+'Zał.1_WPF_bazowy'!#REF!</f>
        <v>#REF!</v>
      </c>
      <c r="AC94" s="310" t="e">
        <f>+'Zał.1_WPF_bazowy'!#REF!</f>
        <v>#REF!</v>
      </c>
      <c r="AD94" s="310" t="e">
        <f>+'Zał.1_WPF_bazowy'!#REF!</f>
        <v>#REF!</v>
      </c>
      <c r="AE94" s="310" t="e">
        <f>+'Zał.1_WPF_bazowy'!#REF!</f>
        <v>#REF!</v>
      </c>
      <c r="AF94" s="310" t="e">
        <f>+'Zał.1_WPF_bazowy'!#REF!</f>
        <v>#REF!</v>
      </c>
      <c r="AG94" s="310" t="e">
        <f>+'Zał.1_WPF_bazowy'!#REF!</f>
        <v>#REF!</v>
      </c>
      <c r="AH94" s="310" t="e">
        <f>+'Zał.1_WPF_bazowy'!#REF!</f>
        <v>#REF!</v>
      </c>
      <c r="AI94" s="310" t="e">
        <f>+'Zał.1_WPF_bazowy'!#REF!</f>
        <v>#REF!</v>
      </c>
      <c r="AJ94" s="310" t="e">
        <f>+'Zał.1_WPF_bazowy'!#REF!</f>
        <v>#REF!</v>
      </c>
      <c r="AK94" s="310" t="e">
        <f>+'Zał.1_WPF_bazowy'!#REF!</f>
        <v>#REF!</v>
      </c>
      <c r="AL94" s="311" t="e">
        <f>+'Zał.1_WPF_bazowy'!#REF!</f>
        <v>#REF!</v>
      </c>
    </row>
    <row r="95" spans="1:38" ht="24" outlineLevel="2">
      <c r="A95" s="374"/>
      <c r="B95" s="46" t="s">
        <v>205</v>
      </c>
      <c r="C95" s="257"/>
      <c r="D95" s="354" t="s">
        <v>262</v>
      </c>
      <c r="E95" s="246">
        <f>'Zał.1_WPF_bazowy'!E95</f>
        <v>0</v>
      </c>
      <c r="F95" s="247">
        <f>'Zał.1_WPF_bazowy'!F95</f>
        <v>0</v>
      </c>
      <c r="G95" s="247">
        <f>'Zał.1_WPF_bazowy'!G95</f>
        <v>0</v>
      </c>
      <c r="H95" s="308">
        <f>'Zał.1_WPF_bazowy'!H95</f>
        <v>0</v>
      </c>
      <c r="I95" s="309">
        <f>+'Zał.1_WPF_bazowy'!I95</f>
        <v>0</v>
      </c>
      <c r="J95" s="310">
        <f>+'Zał.1_WPF_bazowy'!J95</f>
        <v>0</v>
      </c>
      <c r="K95" s="310">
        <f>+'Zał.1_WPF_bazowy'!K95</f>
        <v>0</v>
      </c>
      <c r="L95" s="310">
        <f>+'Zał.1_WPF_bazowy'!L95</f>
        <v>0</v>
      </c>
      <c r="M95" s="310">
        <f>+'Zał.1_WPF_bazowy'!M95</f>
        <v>0</v>
      </c>
      <c r="N95" s="310">
        <f>+'Zał.1_WPF_bazowy'!N95</f>
        <v>0</v>
      </c>
      <c r="O95" s="310">
        <f>+'Zał.1_WPF_bazowy'!O95</f>
        <v>0</v>
      </c>
      <c r="P95" s="310">
        <f>+'Zał.1_WPF_bazowy'!P95</f>
        <v>0</v>
      </c>
      <c r="Q95" s="310">
        <f>+'Zał.1_WPF_bazowy'!Q95</f>
        <v>0</v>
      </c>
      <c r="R95" s="310">
        <f>+'Zał.1_WPF_bazowy'!R95</f>
        <v>0</v>
      </c>
      <c r="S95" s="310">
        <f>+'Zał.1_WPF_bazowy'!S95</f>
        <v>0</v>
      </c>
      <c r="T95" s="310">
        <f>+'Zał.1_WPF_bazowy'!T95</f>
        <v>0</v>
      </c>
      <c r="U95" s="310" t="e">
        <f>+'Zał.1_WPF_bazowy'!#REF!</f>
        <v>#REF!</v>
      </c>
      <c r="V95" s="310" t="e">
        <f>+'Zał.1_WPF_bazowy'!#REF!</f>
        <v>#REF!</v>
      </c>
      <c r="W95" s="310" t="e">
        <f>+'Zał.1_WPF_bazowy'!#REF!</f>
        <v>#REF!</v>
      </c>
      <c r="X95" s="310" t="e">
        <f>+'Zał.1_WPF_bazowy'!#REF!</f>
        <v>#REF!</v>
      </c>
      <c r="Y95" s="310" t="e">
        <f>+'Zał.1_WPF_bazowy'!#REF!</f>
        <v>#REF!</v>
      </c>
      <c r="Z95" s="310" t="e">
        <f>+'Zał.1_WPF_bazowy'!#REF!</f>
        <v>#REF!</v>
      </c>
      <c r="AA95" s="310" t="e">
        <f>+'Zał.1_WPF_bazowy'!#REF!</f>
        <v>#REF!</v>
      </c>
      <c r="AB95" s="310" t="e">
        <f>+'Zał.1_WPF_bazowy'!#REF!</f>
        <v>#REF!</v>
      </c>
      <c r="AC95" s="310" t="e">
        <f>+'Zał.1_WPF_bazowy'!#REF!</f>
        <v>#REF!</v>
      </c>
      <c r="AD95" s="310" t="e">
        <f>+'Zał.1_WPF_bazowy'!#REF!</f>
        <v>#REF!</v>
      </c>
      <c r="AE95" s="310" t="e">
        <f>+'Zał.1_WPF_bazowy'!#REF!</f>
        <v>#REF!</v>
      </c>
      <c r="AF95" s="310" t="e">
        <f>+'Zał.1_WPF_bazowy'!#REF!</f>
        <v>#REF!</v>
      </c>
      <c r="AG95" s="310" t="e">
        <f>+'Zał.1_WPF_bazowy'!#REF!</f>
        <v>#REF!</v>
      </c>
      <c r="AH95" s="310" t="e">
        <f>+'Zał.1_WPF_bazowy'!#REF!</f>
        <v>#REF!</v>
      </c>
      <c r="AI95" s="310" t="e">
        <f>+'Zał.1_WPF_bazowy'!#REF!</f>
        <v>#REF!</v>
      </c>
      <c r="AJ95" s="310" t="e">
        <f>+'Zał.1_WPF_bazowy'!#REF!</f>
        <v>#REF!</v>
      </c>
      <c r="AK95" s="310" t="e">
        <f>+'Zał.1_WPF_bazowy'!#REF!</f>
        <v>#REF!</v>
      </c>
      <c r="AL95" s="311" t="e">
        <f>+'Zał.1_WPF_bazowy'!#REF!</f>
        <v>#REF!</v>
      </c>
    </row>
    <row r="96" spans="1:38" ht="24" outlineLevel="2">
      <c r="A96" s="374"/>
      <c r="B96" s="46" t="s">
        <v>206</v>
      </c>
      <c r="C96" s="257"/>
      <c r="D96" s="354" t="s">
        <v>263</v>
      </c>
      <c r="E96" s="246">
        <f>'Zał.1_WPF_bazowy'!E96</f>
        <v>0</v>
      </c>
      <c r="F96" s="247">
        <f>'Zał.1_WPF_bazowy'!F96</f>
        <v>0</v>
      </c>
      <c r="G96" s="247">
        <f>'Zał.1_WPF_bazowy'!G96</f>
        <v>0</v>
      </c>
      <c r="H96" s="308">
        <f>'Zał.1_WPF_bazowy'!H96</f>
        <v>0</v>
      </c>
      <c r="I96" s="309">
        <f>+'Zał.1_WPF_bazowy'!I96</f>
        <v>0</v>
      </c>
      <c r="J96" s="310">
        <f>+'Zał.1_WPF_bazowy'!J96</f>
        <v>0</v>
      </c>
      <c r="K96" s="310">
        <f>+'Zał.1_WPF_bazowy'!K96</f>
        <v>0</v>
      </c>
      <c r="L96" s="310">
        <f>+'Zał.1_WPF_bazowy'!L96</f>
        <v>0</v>
      </c>
      <c r="M96" s="310">
        <f>+'Zał.1_WPF_bazowy'!M96</f>
        <v>0</v>
      </c>
      <c r="N96" s="310">
        <f>+'Zał.1_WPF_bazowy'!N96</f>
        <v>0</v>
      </c>
      <c r="O96" s="310">
        <f>+'Zał.1_WPF_bazowy'!O96</f>
        <v>0</v>
      </c>
      <c r="P96" s="310">
        <f>+'Zał.1_WPF_bazowy'!P96</f>
        <v>0</v>
      </c>
      <c r="Q96" s="310">
        <f>+'Zał.1_WPF_bazowy'!Q96</f>
        <v>0</v>
      </c>
      <c r="R96" s="310">
        <f>+'Zał.1_WPF_bazowy'!R96</f>
        <v>0</v>
      </c>
      <c r="S96" s="310">
        <f>+'Zał.1_WPF_bazowy'!S96</f>
        <v>0</v>
      </c>
      <c r="T96" s="310">
        <f>+'Zał.1_WPF_bazowy'!T96</f>
        <v>0</v>
      </c>
      <c r="U96" s="310" t="e">
        <f>+'Zał.1_WPF_bazowy'!#REF!</f>
        <v>#REF!</v>
      </c>
      <c r="V96" s="310" t="e">
        <f>+'Zał.1_WPF_bazowy'!#REF!</f>
        <v>#REF!</v>
      </c>
      <c r="W96" s="310" t="e">
        <f>+'Zał.1_WPF_bazowy'!#REF!</f>
        <v>#REF!</v>
      </c>
      <c r="X96" s="310" t="e">
        <f>+'Zał.1_WPF_bazowy'!#REF!</f>
        <v>#REF!</v>
      </c>
      <c r="Y96" s="310" t="e">
        <f>+'Zał.1_WPF_bazowy'!#REF!</f>
        <v>#REF!</v>
      </c>
      <c r="Z96" s="310" t="e">
        <f>+'Zał.1_WPF_bazowy'!#REF!</f>
        <v>#REF!</v>
      </c>
      <c r="AA96" s="310" t="e">
        <f>+'Zał.1_WPF_bazowy'!#REF!</f>
        <v>#REF!</v>
      </c>
      <c r="AB96" s="310" t="e">
        <f>+'Zał.1_WPF_bazowy'!#REF!</f>
        <v>#REF!</v>
      </c>
      <c r="AC96" s="310" t="e">
        <f>+'Zał.1_WPF_bazowy'!#REF!</f>
        <v>#REF!</v>
      </c>
      <c r="AD96" s="310" t="e">
        <f>+'Zał.1_WPF_bazowy'!#REF!</f>
        <v>#REF!</v>
      </c>
      <c r="AE96" s="310" t="e">
        <f>+'Zał.1_WPF_bazowy'!#REF!</f>
        <v>#REF!</v>
      </c>
      <c r="AF96" s="310" t="e">
        <f>+'Zał.1_WPF_bazowy'!#REF!</f>
        <v>#REF!</v>
      </c>
      <c r="AG96" s="310" t="e">
        <f>+'Zał.1_WPF_bazowy'!#REF!</f>
        <v>#REF!</v>
      </c>
      <c r="AH96" s="310" t="e">
        <f>+'Zał.1_WPF_bazowy'!#REF!</f>
        <v>#REF!</v>
      </c>
      <c r="AI96" s="310" t="e">
        <f>+'Zał.1_WPF_bazowy'!#REF!</f>
        <v>#REF!</v>
      </c>
      <c r="AJ96" s="310" t="e">
        <f>+'Zał.1_WPF_bazowy'!#REF!</f>
        <v>#REF!</v>
      </c>
      <c r="AK96" s="310" t="e">
        <f>+'Zał.1_WPF_bazowy'!#REF!</f>
        <v>#REF!</v>
      </c>
      <c r="AL96" s="311" t="e">
        <f>+'Zał.1_WPF_bazowy'!#REF!</f>
        <v>#REF!</v>
      </c>
    </row>
    <row r="97" spans="1:38" s="142" customFormat="1" ht="15" outlineLevel="1">
      <c r="A97" s="374" t="s">
        <v>31</v>
      </c>
      <c r="B97" s="45">
        <v>14</v>
      </c>
      <c r="C97" s="256"/>
      <c r="D97" s="352" t="s">
        <v>153</v>
      </c>
      <c r="E97" s="252" t="s">
        <v>31</v>
      </c>
      <c r="F97" s="253" t="s">
        <v>31</v>
      </c>
      <c r="G97" s="253" t="s">
        <v>31</v>
      </c>
      <c r="H97" s="320" t="s">
        <v>31</v>
      </c>
      <c r="I97" s="321" t="s">
        <v>31</v>
      </c>
      <c r="J97" s="322" t="s">
        <v>31</v>
      </c>
      <c r="K97" s="322" t="s">
        <v>31</v>
      </c>
      <c r="L97" s="322" t="s">
        <v>31</v>
      </c>
      <c r="M97" s="322" t="s">
        <v>31</v>
      </c>
      <c r="N97" s="322" t="s">
        <v>31</v>
      </c>
      <c r="O97" s="322" t="s">
        <v>31</v>
      </c>
      <c r="P97" s="322" t="s">
        <v>31</v>
      </c>
      <c r="Q97" s="322" t="s">
        <v>31</v>
      </c>
      <c r="R97" s="322" t="s">
        <v>31</v>
      </c>
      <c r="S97" s="322" t="s">
        <v>31</v>
      </c>
      <c r="T97" s="322" t="s">
        <v>31</v>
      </c>
      <c r="U97" s="322" t="s">
        <v>31</v>
      </c>
      <c r="V97" s="322" t="s">
        <v>31</v>
      </c>
      <c r="W97" s="322" t="s">
        <v>31</v>
      </c>
      <c r="X97" s="322" t="s">
        <v>31</v>
      </c>
      <c r="Y97" s="322" t="s">
        <v>31</v>
      </c>
      <c r="Z97" s="322" t="s">
        <v>31</v>
      </c>
      <c r="AA97" s="322" t="s">
        <v>31</v>
      </c>
      <c r="AB97" s="322" t="s">
        <v>31</v>
      </c>
      <c r="AC97" s="322" t="s">
        <v>31</v>
      </c>
      <c r="AD97" s="322" t="s">
        <v>31</v>
      </c>
      <c r="AE97" s="322" t="s">
        <v>31</v>
      </c>
      <c r="AF97" s="322" t="s">
        <v>31</v>
      </c>
      <c r="AG97" s="322" t="s">
        <v>31</v>
      </c>
      <c r="AH97" s="322" t="s">
        <v>31</v>
      </c>
      <c r="AI97" s="322" t="s">
        <v>31</v>
      </c>
      <c r="AJ97" s="322" t="s">
        <v>31</v>
      </c>
      <c r="AK97" s="322" t="s">
        <v>31</v>
      </c>
      <c r="AL97" s="323" t="s">
        <v>31</v>
      </c>
    </row>
    <row r="98" spans="1:38" ht="24" outlineLevel="2">
      <c r="A98" s="374" t="s">
        <v>31</v>
      </c>
      <c r="B98" s="46" t="s">
        <v>207</v>
      </c>
      <c r="C98" s="257"/>
      <c r="D98" s="354" t="s">
        <v>264</v>
      </c>
      <c r="E98" s="246">
        <f>'Zał.1_WPF_bazowy'!E98</f>
        <v>0</v>
      </c>
      <c r="F98" s="247">
        <f>'Zał.1_WPF_bazowy'!F98</f>
        <v>0</v>
      </c>
      <c r="G98" s="247">
        <f>'Zał.1_WPF_bazowy'!G98</f>
        <v>0</v>
      </c>
      <c r="H98" s="308">
        <f>'Zał.1_WPF_bazowy'!H98</f>
        <v>0</v>
      </c>
      <c r="I98" s="309">
        <f>+'Zał.1_WPF_bazowy'!I98</f>
        <v>835135</v>
      </c>
      <c r="J98" s="310">
        <f>+'Zał.1_WPF_bazowy'!J98</f>
        <v>835135</v>
      </c>
      <c r="K98" s="310">
        <f>+'Zał.1_WPF_bazowy'!K98</f>
        <v>835135</v>
      </c>
      <c r="L98" s="310">
        <f>+'Zał.1_WPF_bazowy'!L98</f>
        <v>835135</v>
      </c>
      <c r="M98" s="310">
        <f>+'Zał.1_WPF_bazowy'!M98</f>
        <v>835135</v>
      </c>
      <c r="N98" s="310">
        <f>+'Zał.1_WPF_bazowy'!N98</f>
        <v>785515</v>
      </c>
      <c r="O98" s="310">
        <f>+'Zał.1_WPF_bazowy'!O98</f>
        <v>695551</v>
      </c>
      <c r="P98" s="310">
        <f>+'Zał.1_WPF_bazowy'!P98</f>
        <v>501551</v>
      </c>
      <c r="Q98" s="310">
        <f>+'Zał.1_WPF_bazowy'!Q98</f>
        <v>501551</v>
      </c>
      <c r="R98" s="310">
        <f>+'Zał.1_WPF_bazowy'!R98</f>
        <v>501551</v>
      </c>
      <c r="S98" s="310">
        <f>+'Zał.1_WPF_bazowy'!S98</f>
        <v>454151</v>
      </c>
      <c r="T98" s="310">
        <f>+'Zał.1_WPF_bazowy'!T98</f>
        <v>239050</v>
      </c>
      <c r="U98" s="310" t="e">
        <f>+'Zał.1_WPF_bazowy'!#REF!</f>
        <v>#REF!</v>
      </c>
      <c r="V98" s="310" t="e">
        <f>+'Zał.1_WPF_bazowy'!#REF!</f>
        <v>#REF!</v>
      </c>
      <c r="W98" s="310" t="e">
        <f>+'Zał.1_WPF_bazowy'!#REF!</f>
        <v>#REF!</v>
      </c>
      <c r="X98" s="310" t="e">
        <f>+'Zał.1_WPF_bazowy'!#REF!</f>
        <v>#REF!</v>
      </c>
      <c r="Y98" s="310" t="e">
        <f>+'Zał.1_WPF_bazowy'!#REF!</f>
        <v>#REF!</v>
      </c>
      <c r="Z98" s="310" t="e">
        <f>+'Zał.1_WPF_bazowy'!#REF!</f>
        <v>#REF!</v>
      </c>
      <c r="AA98" s="310" t="e">
        <f>+'Zał.1_WPF_bazowy'!#REF!</f>
        <v>#REF!</v>
      </c>
      <c r="AB98" s="310" t="e">
        <f>+'Zał.1_WPF_bazowy'!#REF!</f>
        <v>#REF!</v>
      </c>
      <c r="AC98" s="310" t="e">
        <f>+'Zał.1_WPF_bazowy'!#REF!</f>
        <v>#REF!</v>
      </c>
      <c r="AD98" s="310" t="e">
        <f>+'Zał.1_WPF_bazowy'!#REF!</f>
        <v>#REF!</v>
      </c>
      <c r="AE98" s="310" t="e">
        <f>+'Zał.1_WPF_bazowy'!#REF!</f>
        <v>#REF!</v>
      </c>
      <c r="AF98" s="310" t="e">
        <f>+'Zał.1_WPF_bazowy'!#REF!</f>
        <v>#REF!</v>
      </c>
      <c r="AG98" s="310" t="e">
        <f>+'Zał.1_WPF_bazowy'!#REF!</f>
        <v>#REF!</v>
      </c>
      <c r="AH98" s="310" t="e">
        <f>+'Zał.1_WPF_bazowy'!#REF!</f>
        <v>#REF!</v>
      </c>
      <c r="AI98" s="310" t="e">
        <f>+'Zał.1_WPF_bazowy'!#REF!</f>
        <v>#REF!</v>
      </c>
      <c r="AJ98" s="310" t="e">
        <f>+'Zał.1_WPF_bazowy'!#REF!</f>
        <v>#REF!</v>
      </c>
      <c r="AK98" s="310" t="e">
        <f>+'Zał.1_WPF_bazowy'!#REF!</f>
        <v>#REF!</v>
      </c>
      <c r="AL98" s="311" t="e">
        <f>+'Zał.1_WPF_bazowy'!#REF!</f>
        <v>#REF!</v>
      </c>
    </row>
    <row r="99" spans="1:38" ht="14.25" outlineLevel="2">
      <c r="A99" s="374" t="s">
        <v>31</v>
      </c>
      <c r="B99" s="46" t="s">
        <v>208</v>
      </c>
      <c r="C99" s="257"/>
      <c r="D99" s="354" t="s">
        <v>265</v>
      </c>
      <c r="E99" s="246">
        <f>'Zał.1_WPF_bazowy'!E99</f>
        <v>0</v>
      </c>
      <c r="F99" s="247">
        <f>'Zał.1_WPF_bazowy'!F99</f>
        <v>0</v>
      </c>
      <c r="G99" s="247">
        <f>'Zał.1_WPF_bazowy'!G99</f>
        <v>0</v>
      </c>
      <c r="H99" s="308">
        <f>'Zał.1_WPF_bazowy'!H99</f>
        <v>0</v>
      </c>
      <c r="I99" s="309">
        <f>+'Zał.1_WPF_bazowy'!I99</f>
        <v>0</v>
      </c>
      <c r="J99" s="310">
        <f>+'Zał.1_WPF_bazowy'!J99</f>
        <v>0</v>
      </c>
      <c r="K99" s="310">
        <f>+'Zał.1_WPF_bazowy'!K99</f>
        <v>0</v>
      </c>
      <c r="L99" s="310">
        <f>+'Zał.1_WPF_bazowy'!L99</f>
        <v>0</v>
      </c>
      <c r="M99" s="310">
        <f>+'Zał.1_WPF_bazowy'!M99</f>
        <v>0</v>
      </c>
      <c r="N99" s="310">
        <f>+'Zał.1_WPF_bazowy'!N99</f>
        <v>0</v>
      </c>
      <c r="O99" s="310">
        <f>+'Zał.1_WPF_bazowy'!O99</f>
        <v>0</v>
      </c>
      <c r="P99" s="310">
        <f>+'Zał.1_WPF_bazowy'!P99</f>
        <v>0</v>
      </c>
      <c r="Q99" s="310">
        <f>+'Zał.1_WPF_bazowy'!Q99</f>
        <v>0</v>
      </c>
      <c r="R99" s="310">
        <f>+'Zał.1_WPF_bazowy'!R99</f>
        <v>0</v>
      </c>
      <c r="S99" s="310">
        <f>+'Zał.1_WPF_bazowy'!S99</f>
        <v>0</v>
      </c>
      <c r="T99" s="310">
        <f>+'Zał.1_WPF_bazowy'!T99</f>
        <v>0</v>
      </c>
      <c r="U99" s="310" t="e">
        <f>+'Zał.1_WPF_bazowy'!#REF!</f>
        <v>#REF!</v>
      </c>
      <c r="V99" s="310" t="e">
        <f>+'Zał.1_WPF_bazowy'!#REF!</f>
        <v>#REF!</v>
      </c>
      <c r="W99" s="310" t="e">
        <f>+'Zał.1_WPF_bazowy'!#REF!</f>
        <v>#REF!</v>
      </c>
      <c r="X99" s="310" t="e">
        <f>+'Zał.1_WPF_bazowy'!#REF!</f>
        <v>#REF!</v>
      </c>
      <c r="Y99" s="310" t="e">
        <f>+'Zał.1_WPF_bazowy'!#REF!</f>
        <v>#REF!</v>
      </c>
      <c r="Z99" s="310" t="e">
        <f>+'Zał.1_WPF_bazowy'!#REF!</f>
        <v>#REF!</v>
      </c>
      <c r="AA99" s="310" t="e">
        <f>+'Zał.1_WPF_bazowy'!#REF!</f>
        <v>#REF!</v>
      </c>
      <c r="AB99" s="310" t="e">
        <f>+'Zał.1_WPF_bazowy'!#REF!</f>
        <v>#REF!</v>
      </c>
      <c r="AC99" s="310" t="e">
        <f>+'Zał.1_WPF_bazowy'!#REF!</f>
        <v>#REF!</v>
      </c>
      <c r="AD99" s="310" t="e">
        <f>+'Zał.1_WPF_bazowy'!#REF!</f>
        <v>#REF!</v>
      </c>
      <c r="AE99" s="310" t="e">
        <f>+'Zał.1_WPF_bazowy'!#REF!</f>
        <v>#REF!</v>
      </c>
      <c r="AF99" s="310" t="e">
        <f>+'Zał.1_WPF_bazowy'!#REF!</f>
        <v>#REF!</v>
      </c>
      <c r="AG99" s="310" t="e">
        <f>+'Zał.1_WPF_bazowy'!#REF!</f>
        <v>#REF!</v>
      </c>
      <c r="AH99" s="310" t="e">
        <f>+'Zał.1_WPF_bazowy'!#REF!</f>
        <v>#REF!</v>
      </c>
      <c r="AI99" s="310" t="e">
        <f>+'Zał.1_WPF_bazowy'!#REF!</f>
        <v>#REF!</v>
      </c>
      <c r="AJ99" s="310" t="e">
        <f>+'Zał.1_WPF_bazowy'!#REF!</f>
        <v>#REF!</v>
      </c>
      <c r="AK99" s="310" t="e">
        <f>+'Zał.1_WPF_bazowy'!#REF!</f>
        <v>#REF!</v>
      </c>
      <c r="AL99" s="311" t="e">
        <f>+'Zał.1_WPF_bazowy'!#REF!</f>
        <v>#REF!</v>
      </c>
    </row>
    <row r="100" spans="1:38" ht="14.25" outlineLevel="2">
      <c r="A100" s="374" t="s">
        <v>31</v>
      </c>
      <c r="B100" s="46" t="s">
        <v>209</v>
      </c>
      <c r="C100" s="257"/>
      <c r="D100" s="354" t="s">
        <v>267</v>
      </c>
      <c r="E100" s="246">
        <f>'Zał.1_WPF_bazowy'!E100</f>
        <v>0</v>
      </c>
      <c r="F100" s="247">
        <f>'Zał.1_WPF_bazowy'!F100</f>
        <v>0</v>
      </c>
      <c r="G100" s="247">
        <f>'Zał.1_WPF_bazowy'!G100</f>
        <v>0</v>
      </c>
      <c r="H100" s="308">
        <f>'Zał.1_WPF_bazowy'!H100</f>
        <v>0</v>
      </c>
      <c r="I100" s="309">
        <f>+'Zał.1_WPF_bazowy'!I100</f>
        <v>0</v>
      </c>
      <c r="J100" s="310">
        <f>+'Zał.1_WPF_bazowy'!J100</f>
        <v>0</v>
      </c>
      <c r="K100" s="310">
        <f>+'Zał.1_WPF_bazowy'!K100</f>
        <v>0</v>
      </c>
      <c r="L100" s="310">
        <f>+'Zał.1_WPF_bazowy'!L100</f>
        <v>0</v>
      </c>
      <c r="M100" s="310">
        <f>+'Zał.1_WPF_bazowy'!M100</f>
        <v>0</v>
      </c>
      <c r="N100" s="310">
        <f>+'Zał.1_WPF_bazowy'!N100</f>
        <v>0</v>
      </c>
      <c r="O100" s="310">
        <f>+'Zał.1_WPF_bazowy'!O100</f>
        <v>0</v>
      </c>
      <c r="P100" s="310">
        <f>+'Zał.1_WPF_bazowy'!P100</f>
        <v>0</v>
      </c>
      <c r="Q100" s="310">
        <f>+'Zał.1_WPF_bazowy'!Q100</f>
        <v>0</v>
      </c>
      <c r="R100" s="310">
        <f>+'Zał.1_WPF_bazowy'!R100</f>
        <v>0</v>
      </c>
      <c r="S100" s="310">
        <f>+'Zał.1_WPF_bazowy'!S100</f>
        <v>0</v>
      </c>
      <c r="T100" s="310">
        <f>+'Zał.1_WPF_bazowy'!T100</f>
        <v>0</v>
      </c>
      <c r="U100" s="310" t="e">
        <f>+'Zał.1_WPF_bazowy'!#REF!</f>
        <v>#REF!</v>
      </c>
      <c r="V100" s="310" t="e">
        <f>+'Zał.1_WPF_bazowy'!#REF!</f>
        <v>#REF!</v>
      </c>
      <c r="W100" s="310" t="e">
        <f>+'Zał.1_WPF_bazowy'!#REF!</f>
        <v>#REF!</v>
      </c>
      <c r="X100" s="310" t="e">
        <f>+'Zał.1_WPF_bazowy'!#REF!</f>
        <v>#REF!</v>
      </c>
      <c r="Y100" s="310" t="e">
        <f>+'Zał.1_WPF_bazowy'!#REF!</f>
        <v>#REF!</v>
      </c>
      <c r="Z100" s="310" t="e">
        <f>+'Zał.1_WPF_bazowy'!#REF!</f>
        <v>#REF!</v>
      </c>
      <c r="AA100" s="310" t="e">
        <f>+'Zał.1_WPF_bazowy'!#REF!</f>
        <v>#REF!</v>
      </c>
      <c r="AB100" s="310" t="e">
        <f>+'Zał.1_WPF_bazowy'!#REF!</f>
        <v>#REF!</v>
      </c>
      <c r="AC100" s="310" t="e">
        <f>+'Zał.1_WPF_bazowy'!#REF!</f>
        <v>#REF!</v>
      </c>
      <c r="AD100" s="310" t="e">
        <f>+'Zał.1_WPF_bazowy'!#REF!</f>
        <v>#REF!</v>
      </c>
      <c r="AE100" s="310" t="e">
        <f>+'Zał.1_WPF_bazowy'!#REF!</f>
        <v>#REF!</v>
      </c>
      <c r="AF100" s="310" t="e">
        <f>+'Zał.1_WPF_bazowy'!#REF!</f>
        <v>#REF!</v>
      </c>
      <c r="AG100" s="310" t="e">
        <f>+'Zał.1_WPF_bazowy'!#REF!</f>
        <v>#REF!</v>
      </c>
      <c r="AH100" s="310" t="e">
        <f>+'Zał.1_WPF_bazowy'!#REF!</f>
        <v>#REF!</v>
      </c>
      <c r="AI100" s="310" t="e">
        <f>+'Zał.1_WPF_bazowy'!#REF!</f>
        <v>#REF!</v>
      </c>
      <c r="AJ100" s="310" t="e">
        <f>+'Zał.1_WPF_bazowy'!#REF!</f>
        <v>#REF!</v>
      </c>
      <c r="AK100" s="310" t="e">
        <f>+'Zał.1_WPF_bazowy'!#REF!</f>
        <v>#REF!</v>
      </c>
      <c r="AL100" s="311" t="e">
        <f>+'Zał.1_WPF_bazowy'!#REF!</f>
        <v>#REF!</v>
      </c>
    </row>
    <row r="101" spans="1:38" ht="14.25" outlineLevel="2">
      <c r="A101" s="374" t="s">
        <v>31</v>
      </c>
      <c r="B101" s="46" t="s">
        <v>157</v>
      </c>
      <c r="C101" s="257"/>
      <c r="D101" s="355" t="s">
        <v>266</v>
      </c>
      <c r="E101" s="246">
        <f>'Zał.1_WPF_bazowy'!E101</f>
        <v>0</v>
      </c>
      <c r="F101" s="247">
        <f>'Zał.1_WPF_bazowy'!F101</f>
        <v>0</v>
      </c>
      <c r="G101" s="247">
        <f>'Zał.1_WPF_bazowy'!G101</f>
        <v>0</v>
      </c>
      <c r="H101" s="308">
        <f>'Zał.1_WPF_bazowy'!H101</f>
        <v>0</v>
      </c>
      <c r="I101" s="309">
        <f>+'Zał.1_WPF_bazowy'!I101</f>
        <v>0</v>
      </c>
      <c r="J101" s="310">
        <f>+'Zał.1_WPF_bazowy'!J101</f>
        <v>0</v>
      </c>
      <c r="K101" s="310">
        <f>+'Zał.1_WPF_bazowy'!K101</f>
        <v>0</v>
      </c>
      <c r="L101" s="310">
        <f>+'Zał.1_WPF_bazowy'!L101</f>
        <v>0</v>
      </c>
      <c r="M101" s="310">
        <f>+'Zał.1_WPF_bazowy'!M101</f>
        <v>0</v>
      </c>
      <c r="N101" s="310">
        <f>+'Zał.1_WPF_bazowy'!N101</f>
        <v>0</v>
      </c>
      <c r="O101" s="310">
        <f>+'Zał.1_WPF_bazowy'!O101</f>
        <v>0</v>
      </c>
      <c r="P101" s="310">
        <f>+'Zał.1_WPF_bazowy'!P101</f>
        <v>0</v>
      </c>
      <c r="Q101" s="310">
        <f>+'Zał.1_WPF_bazowy'!Q101</f>
        <v>0</v>
      </c>
      <c r="R101" s="310">
        <f>+'Zał.1_WPF_bazowy'!R101</f>
        <v>0</v>
      </c>
      <c r="S101" s="310">
        <f>+'Zał.1_WPF_bazowy'!S101</f>
        <v>0</v>
      </c>
      <c r="T101" s="310">
        <f>+'Zał.1_WPF_bazowy'!T101</f>
        <v>0</v>
      </c>
      <c r="U101" s="310" t="e">
        <f>+'Zał.1_WPF_bazowy'!#REF!</f>
        <v>#REF!</v>
      </c>
      <c r="V101" s="310" t="e">
        <f>+'Zał.1_WPF_bazowy'!#REF!</f>
        <v>#REF!</v>
      </c>
      <c r="W101" s="310" t="e">
        <f>+'Zał.1_WPF_bazowy'!#REF!</f>
        <v>#REF!</v>
      </c>
      <c r="X101" s="310" t="e">
        <f>+'Zał.1_WPF_bazowy'!#REF!</f>
        <v>#REF!</v>
      </c>
      <c r="Y101" s="310" t="e">
        <f>+'Zał.1_WPF_bazowy'!#REF!</f>
        <v>#REF!</v>
      </c>
      <c r="Z101" s="310" t="e">
        <f>+'Zał.1_WPF_bazowy'!#REF!</f>
        <v>#REF!</v>
      </c>
      <c r="AA101" s="310" t="e">
        <f>+'Zał.1_WPF_bazowy'!#REF!</f>
        <v>#REF!</v>
      </c>
      <c r="AB101" s="310" t="e">
        <f>+'Zał.1_WPF_bazowy'!#REF!</f>
        <v>#REF!</v>
      </c>
      <c r="AC101" s="310" t="e">
        <f>+'Zał.1_WPF_bazowy'!#REF!</f>
        <v>#REF!</v>
      </c>
      <c r="AD101" s="310" t="e">
        <f>+'Zał.1_WPF_bazowy'!#REF!</f>
        <v>#REF!</v>
      </c>
      <c r="AE101" s="310" t="e">
        <f>+'Zał.1_WPF_bazowy'!#REF!</f>
        <v>#REF!</v>
      </c>
      <c r="AF101" s="310" t="e">
        <f>+'Zał.1_WPF_bazowy'!#REF!</f>
        <v>#REF!</v>
      </c>
      <c r="AG101" s="310" t="e">
        <f>+'Zał.1_WPF_bazowy'!#REF!</f>
        <v>#REF!</v>
      </c>
      <c r="AH101" s="310" t="e">
        <f>+'Zał.1_WPF_bazowy'!#REF!</f>
        <v>#REF!</v>
      </c>
      <c r="AI101" s="310" t="e">
        <f>+'Zał.1_WPF_bazowy'!#REF!</f>
        <v>#REF!</v>
      </c>
      <c r="AJ101" s="310" t="e">
        <f>+'Zał.1_WPF_bazowy'!#REF!</f>
        <v>#REF!</v>
      </c>
      <c r="AK101" s="310" t="e">
        <f>+'Zał.1_WPF_bazowy'!#REF!</f>
        <v>#REF!</v>
      </c>
      <c r="AL101" s="311" t="e">
        <f>+'Zał.1_WPF_bazowy'!#REF!</f>
        <v>#REF!</v>
      </c>
    </row>
    <row r="102" spans="1:38" ht="14.25" outlineLevel="2">
      <c r="A102" s="374" t="s">
        <v>31</v>
      </c>
      <c r="B102" s="46" t="s">
        <v>159</v>
      </c>
      <c r="C102" s="257"/>
      <c r="D102" s="355" t="s">
        <v>268</v>
      </c>
      <c r="E102" s="246">
        <f>'Zał.1_WPF_bazowy'!E102</f>
        <v>0</v>
      </c>
      <c r="F102" s="247">
        <f>'Zał.1_WPF_bazowy'!F102</f>
        <v>0</v>
      </c>
      <c r="G102" s="247">
        <f>'Zał.1_WPF_bazowy'!G102</f>
        <v>0</v>
      </c>
      <c r="H102" s="308">
        <f>'Zał.1_WPF_bazowy'!H102</f>
        <v>0</v>
      </c>
      <c r="I102" s="309">
        <f>+'Zał.1_WPF_bazowy'!I102</f>
        <v>0</v>
      </c>
      <c r="J102" s="310">
        <f>+'Zał.1_WPF_bazowy'!J102</f>
        <v>0</v>
      </c>
      <c r="K102" s="310">
        <f>+'Zał.1_WPF_bazowy'!K102</f>
        <v>0</v>
      </c>
      <c r="L102" s="310">
        <f>+'Zał.1_WPF_bazowy'!L102</f>
        <v>0</v>
      </c>
      <c r="M102" s="310">
        <f>+'Zał.1_WPF_bazowy'!M102</f>
        <v>0</v>
      </c>
      <c r="N102" s="310">
        <f>+'Zał.1_WPF_bazowy'!N102</f>
        <v>0</v>
      </c>
      <c r="O102" s="310">
        <f>+'Zał.1_WPF_bazowy'!O102</f>
        <v>0</v>
      </c>
      <c r="P102" s="310">
        <f>+'Zał.1_WPF_bazowy'!P102</f>
        <v>0</v>
      </c>
      <c r="Q102" s="310">
        <f>+'Zał.1_WPF_bazowy'!Q102</f>
        <v>0</v>
      </c>
      <c r="R102" s="310">
        <f>+'Zał.1_WPF_bazowy'!R102</f>
        <v>0</v>
      </c>
      <c r="S102" s="310">
        <f>+'Zał.1_WPF_bazowy'!S102</f>
        <v>0</v>
      </c>
      <c r="T102" s="310">
        <f>+'Zał.1_WPF_bazowy'!T102</f>
        <v>0</v>
      </c>
      <c r="U102" s="310" t="e">
        <f>+'Zał.1_WPF_bazowy'!#REF!</f>
        <v>#REF!</v>
      </c>
      <c r="V102" s="310" t="e">
        <f>+'Zał.1_WPF_bazowy'!#REF!</f>
        <v>#REF!</v>
      </c>
      <c r="W102" s="310" t="e">
        <f>+'Zał.1_WPF_bazowy'!#REF!</f>
        <v>#REF!</v>
      </c>
      <c r="X102" s="310" t="e">
        <f>+'Zał.1_WPF_bazowy'!#REF!</f>
        <v>#REF!</v>
      </c>
      <c r="Y102" s="310" t="e">
        <f>+'Zał.1_WPF_bazowy'!#REF!</f>
        <v>#REF!</v>
      </c>
      <c r="Z102" s="310" t="e">
        <f>+'Zał.1_WPF_bazowy'!#REF!</f>
        <v>#REF!</v>
      </c>
      <c r="AA102" s="310" t="e">
        <f>+'Zał.1_WPF_bazowy'!#REF!</f>
        <v>#REF!</v>
      </c>
      <c r="AB102" s="310" t="e">
        <f>+'Zał.1_WPF_bazowy'!#REF!</f>
        <v>#REF!</v>
      </c>
      <c r="AC102" s="310" t="e">
        <f>+'Zał.1_WPF_bazowy'!#REF!</f>
        <v>#REF!</v>
      </c>
      <c r="AD102" s="310" t="e">
        <f>+'Zał.1_WPF_bazowy'!#REF!</f>
        <v>#REF!</v>
      </c>
      <c r="AE102" s="310" t="e">
        <f>+'Zał.1_WPF_bazowy'!#REF!</f>
        <v>#REF!</v>
      </c>
      <c r="AF102" s="310" t="e">
        <f>+'Zał.1_WPF_bazowy'!#REF!</f>
        <v>#REF!</v>
      </c>
      <c r="AG102" s="310" t="e">
        <f>+'Zał.1_WPF_bazowy'!#REF!</f>
        <v>#REF!</v>
      </c>
      <c r="AH102" s="310" t="e">
        <f>+'Zał.1_WPF_bazowy'!#REF!</f>
        <v>#REF!</v>
      </c>
      <c r="AI102" s="310" t="e">
        <f>+'Zał.1_WPF_bazowy'!#REF!</f>
        <v>#REF!</v>
      </c>
      <c r="AJ102" s="310" t="e">
        <f>+'Zał.1_WPF_bazowy'!#REF!</f>
        <v>#REF!</v>
      </c>
      <c r="AK102" s="310" t="e">
        <f>+'Zał.1_WPF_bazowy'!#REF!</f>
        <v>#REF!</v>
      </c>
      <c r="AL102" s="311" t="e">
        <f>+'Zał.1_WPF_bazowy'!#REF!</f>
        <v>#REF!</v>
      </c>
    </row>
    <row r="103" spans="1:38" ht="14.25" outlineLevel="2">
      <c r="A103" s="374" t="s">
        <v>31</v>
      </c>
      <c r="B103" s="46" t="s">
        <v>161</v>
      </c>
      <c r="C103" s="257"/>
      <c r="D103" s="355" t="s">
        <v>269</v>
      </c>
      <c r="E103" s="246">
        <f>'Zał.1_WPF_bazowy'!E103</f>
        <v>0</v>
      </c>
      <c r="F103" s="247">
        <f>'Zał.1_WPF_bazowy'!F103</f>
        <v>0</v>
      </c>
      <c r="G103" s="247">
        <f>'Zał.1_WPF_bazowy'!G103</f>
        <v>0</v>
      </c>
      <c r="H103" s="308">
        <f>'Zał.1_WPF_bazowy'!H103</f>
        <v>0</v>
      </c>
      <c r="I103" s="309">
        <f>+'Zał.1_WPF_bazowy'!I103</f>
        <v>0</v>
      </c>
      <c r="J103" s="310">
        <f>+'Zał.1_WPF_bazowy'!J103</f>
        <v>0</v>
      </c>
      <c r="K103" s="310">
        <f>+'Zał.1_WPF_bazowy'!K103</f>
        <v>0</v>
      </c>
      <c r="L103" s="310">
        <f>+'Zał.1_WPF_bazowy'!L103</f>
        <v>0</v>
      </c>
      <c r="M103" s="310">
        <f>+'Zał.1_WPF_bazowy'!M103</f>
        <v>0</v>
      </c>
      <c r="N103" s="310">
        <f>+'Zał.1_WPF_bazowy'!N103</f>
        <v>0</v>
      </c>
      <c r="O103" s="310">
        <f>+'Zał.1_WPF_bazowy'!O103</f>
        <v>0</v>
      </c>
      <c r="P103" s="310">
        <f>+'Zał.1_WPF_bazowy'!P103</f>
        <v>0</v>
      </c>
      <c r="Q103" s="310">
        <f>+'Zał.1_WPF_bazowy'!Q103</f>
        <v>0</v>
      </c>
      <c r="R103" s="310">
        <f>+'Zał.1_WPF_bazowy'!R103</f>
        <v>0</v>
      </c>
      <c r="S103" s="310">
        <f>+'Zał.1_WPF_bazowy'!S103</f>
        <v>0</v>
      </c>
      <c r="T103" s="310">
        <f>+'Zał.1_WPF_bazowy'!T103</f>
        <v>0</v>
      </c>
      <c r="U103" s="310" t="e">
        <f>+'Zał.1_WPF_bazowy'!#REF!</f>
        <v>#REF!</v>
      </c>
      <c r="V103" s="310" t="e">
        <f>+'Zał.1_WPF_bazowy'!#REF!</f>
        <v>#REF!</v>
      </c>
      <c r="W103" s="310" t="e">
        <f>+'Zał.1_WPF_bazowy'!#REF!</f>
        <v>#REF!</v>
      </c>
      <c r="X103" s="310" t="e">
        <f>+'Zał.1_WPF_bazowy'!#REF!</f>
        <v>#REF!</v>
      </c>
      <c r="Y103" s="310" t="e">
        <f>+'Zał.1_WPF_bazowy'!#REF!</f>
        <v>#REF!</v>
      </c>
      <c r="Z103" s="310" t="e">
        <f>+'Zał.1_WPF_bazowy'!#REF!</f>
        <v>#REF!</v>
      </c>
      <c r="AA103" s="310" t="e">
        <f>+'Zał.1_WPF_bazowy'!#REF!</f>
        <v>#REF!</v>
      </c>
      <c r="AB103" s="310" t="e">
        <f>+'Zał.1_WPF_bazowy'!#REF!</f>
        <v>#REF!</v>
      </c>
      <c r="AC103" s="310" t="e">
        <f>+'Zał.1_WPF_bazowy'!#REF!</f>
        <v>#REF!</v>
      </c>
      <c r="AD103" s="310" t="e">
        <f>+'Zał.1_WPF_bazowy'!#REF!</f>
        <v>#REF!</v>
      </c>
      <c r="AE103" s="310" t="e">
        <f>+'Zał.1_WPF_bazowy'!#REF!</f>
        <v>#REF!</v>
      </c>
      <c r="AF103" s="310" t="e">
        <f>+'Zał.1_WPF_bazowy'!#REF!</f>
        <v>#REF!</v>
      </c>
      <c r="AG103" s="310" t="e">
        <f>+'Zał.1_WPF_bazowy'!#REF!</f>
        <v>#REF!</v>
      </c>
      <c r="AH103" s="310" t="e">
        <f>+'Zał.1_WPF_bazowy'!#REF!</f>
        <v>#REF!</v>
      </c>
      <c r="AI103" s="310" t="e">
        <f>+'Zał.1_WPF_bazowy'!#REF!</f>
        <v>#REF!</v>
      </c>
      <c r="AJ103" s="310" t="e">
        <f>+'Zał.1_WPF_bazowy'!#REF!</f>
        <v>#REF!</v>
      </c>
      <c r="AK103" s="310" t="e">
        <f>+'Zał.1_WPF_bazowy'!#REF!</f>
        <v>#REF!</v>
      </c>
      <c r="AL103" s="311" t="e">
        <f>+'Zał.1_WPF_bazowy'!#REF!</f>
        <v>#REF!</v>
      </c>
    </row>
    <row r="104" spans="1:38" ht="14.25" outlineLevel="2">
      <c r="A104" s="374" t="s">
        <v>31</v>
      </c>
      <c r="B104" s="47" t="s">
        <v>210</v>
      </c>
      <c r="C104" s="258"/>
      <c r="D104" s="370" t="s">
        <v>270</v>
      </c>
      <c r="E104" s="254">
        <f>'Zał.1_WPF_bazowy'!E104</f>
        <v>0</v>
      </c>
      <c r="F104" s="255">
        <f>'Zał.1_WPF_bazowy'!F104</f>
        <v>0</v>
      </c>
      <c r="G104" s="255">
        <f>'Zał.1_WPF_bazowy'!G104</f>
        <v>0</v>
      </c>
      <c r="H104" s="327">
        <f>'Zał.1_WPF_bazowy'!H104</f>
        <v>0</v>
      </c>
      <c r="I104" s="328">
        <f>+'Zał.1_WPF_bazowy'!I104</f>
        <v>0</v>
      </c>
      <c r="J104" s="329">
        <f>+'Zał.1_WPF_bazowy'!J104</f>
        <v>0</v>
      </c>
      <c r="K104" s="329">
        <f>+'Zał.1_WPF_bazowy'!K104</f>
        <v>0</v>
      </c>
      <c r="L104" s="329">
        <f>+'Zał.1_WPF_bazowy'!L104</f>
        <v>0</v>
      </c>
      <c r="M104" s="329">
        <f>+'Zał.1_WPF_bazowy'!M104</f>
        <v>0</v>
      </c>
      <c r="N104" s="329">
        <f>+'Zał.1_WPF_bazowy'!N104</f>
        <v>0</v>
      </c>
      <c r="O104" s="329">
        <f>+'Zał.1_WPF_bazowy'!O104</f>
        <v>0</v>
      </c>
      <c r="P104" s="329">
        <f>+'Zał.1_WPF_bazowy'!P104</f>
        <v>0</v>
      </c>
      <c r="Q104" s="329">
        <f>+'Zał.1_WPF_bazowy'!Q104</f>
        <v>0</v>
      </c>
      <c r="R104" s="329">
        <f>+'Zał.1_WPF_bazowy'!R104</f>
        <v>0</v>
      </c>
      <c r="S104" s="329">
        <f>+'Zał.1_WPF_bazowy'!S104</f>
        <v>0</v>
      </c>
      <c r="T104" s="329">
        <f>+'Zał.1_WPF_bazowy'!T104</f>
        <v>0</v>
      </c>
      <c r="U104" s="329" t="e">
        <f>+'Zał.1_WPF_bazowy'!#REF!</f>
        <v>#REF!</v>
      </c>
      <c r="V104" s="329" t="e">
        <f>+'Zał.1_WPF_bazowy'!#REF!</f>
        <v>#REF!</v>
      </c>
      <c r="W104" s="329" t="e">
        <f>+'Zał.1_WPF_bazowy'!#REF!</f>
        <v>#REF!</v>
      </c>
      <c r="X104" s="329" t="e">
        <f>+'Zał.1_WPF_bazowy'!#REF!</f>
        <v>#REF!</v>
      </c>
      <c r="Y104" s="329" t="e">
        <f>+'Zał.1_WPF_bazowy'!#REF!</f>
        <v>#REF!</v>
      </c>
      <c r="Z104" s="329" t="e">
        <f>+'Zał.1_WPF_bazowy'!#REF!</f>
        <v>#REF!</v>
      </c>
      <c r="AA104" s="329" t="e">
        <f>+'Zał.1_WPF_bazowy'!#REF!</f>
        <v>#REF!</v>
      </c>
      <c r="AB104" s="329" t="e">
        <f>+'Zał.1_WPF_bazowy'!#REF!</f>
        <v>#REF!</v>
      </c>
      <c r="AC104" s="329" t="e">
        <f>+'Zał.1_WPF_bazowy'!#REF!</f>
        <v>#REF!</v>
      </c>
      <c r="AD104" s="329" t="e">
        <f>+'Zał.1_WPF_bazowy'!#REF!</f>
        <v>#REF!</v>
      </c>
      <c r="AE104" s="329" t="e">
        <f>+'Zał.1_WPF_bazowy'!#REF!</f>
        <v>#REF!</v>
      </c>
      <c r="AF104" s="329" t="e">
        <f>+'Zał.1_WPF_bazowy'!#REF!</f>
        <v>#REF!</v>
      </c>
      <c r="AG104" s="329" t="e">
        <f>+'Zał.1_WPF_bazowy'!#REF!</f>
        <v>#REF!</v>
      </c>
      <c r="AH104" s="329" t="e">
        <f>+'Zał.1_WPF_bazowy'!#REF!</f>
        <v>#REF!</v>
      </c>
      <c r="AI104" s="329" t="e">
        <f>+'Zał.1_WPF_bazowy'!#REF!</f>
        <v>#REF!</v>
      </c>
      <c r="AJ104" s="329" t="e">
        <f>+'Zał.1_WPF_bazowy'!#REF!</f>
        <v>#REF!</v>
      </c>
      <c r="AK104" s="329" t="e">
        <f>+'Zał.1_WPF_bazowy'!#REF!</f>
        <v>#REF!</v>
      </c>
      <c r="AL104" s="330" t="e">
        <f>+'Zał.1_WPF_bazowy'!#REF!</f>
        <v>#REF!</v>
      </c>
    </row>
    <row r="105" spans="2:38" ht="14.25">
      <c r="B105" s="123"/>
      <c r="C105" s="123"/>
      <c r="D105" s="123"/>
      <c r="E105" s="331"/>
      <c r="F105" s="331"/>
      <c r="G105" s="331"/>
      <c r="H105" s="331"/>
      <c r="I105" s="331"/>
      <c r="J105" s="331"/>
      <c r="K105" s="331"/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  <c r="AG105" s="331"/>
      <c r="AH105" s="331"/>
      <c r="AI105" s="331"/>
      <c r="AJ105" s="331"/>
      <c r="AK105" s="331"/>
      <c r="AL105" s="331"/>
    </row>
    <row r="106" spans="2:38" ht="14.25">
      <c r="B106" s="123"/>
      <c r="C106" s="123"/>
      <c r="D106" s="123"/>
      <c r="E106" s="331"/>
      <c r="F106" s="331"/>
      <c r="G106" s="331"/>
      <c r="H106" s="331"/>
      <c r="I106" s="331"/>
      <c r="J106" s="422"/>
      <c r="K106" s="331"/>
      <c r="L106" s="331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1"/>
      <c r="AG106" s="331"/>
      <c r="AH106" s="331"/>
      <c r="AI106" s="331"/>
      <c r="AJ106" s="331"/>
      <c r="AK106" s="331"/>
      <c r="AL106" s="331"/>
    </row>
    <row r="107" spans="2:38" ht="14.25">
      <c r="B107" s="123"/>
      <c r="C107" s="123"/>
      <c r="D107" s="123"/>
      <c r="E107" s="331"/>
      <c r="F107" s="331"/>
      <c r="G107" s="331"/>
      <c r="H107" s="331"/>
      <c r="I107" s="331"/>
      <c r="J107" s="331"/>
      <c r="K107" s="331"/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1"/>
      <c r="AE107" s="331"/>
      <c r="AF107" s="331"/>
      <c r="AG107" s="331"/>
      <c r="AH107" s="331"/>
      <c r="AI107" s="331"/>
      <c r="AJ107" s="331"/>
      <c r="AK107" s="331"/>
      <c r="AL107" s="331"/>
    </row>
    <row r="108" spans="2:38" ht="14.25">
      <c r="B108" s="152"/>
      <c r="C108" s="152"/>
      <c r="D108" s="123"/>
      <c r="E108" s="332"/>
      <c r="F108" s="332"/>
      <c r="G108" s="332"/>
      <c r="H108" s="332"/>
      <c r="I108" s="331"/>
      <c r="J108" s="331"/>
      <c r="K108" s="331"/>
      <c r="L108" s="331"/>
      <c r="M108" s="331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1"/>
      <c r="AC108" s="331"/>
      <c r="AD108" s="331"/>
      <c r="AE108" s="331"/>
      <c r="AF108" s="331"/>
      <c r="AG108" s="331"/>
      <c r="AH108" s="331"/>
      <c r="AI108" s="331"/>
      <c r="AJ108" s="331"/>
      <c r="AK108" s="331"/>
      <c r="AL108" s="331"/>
    </row>
    <row r="109" spans="2:38" ht="14.25">
      <c r="B109" s="152"/>
      <c r="C109" s="152"/>
      <c r="D109" s="123"/>
      <c r="E109" s="332"/>
      <c r="F109" s="332"/>
      <c r="G109" s="332"/>
      <c r="H109" s="332"/>
      <c r="I109" s="331"/>
      <c r="J109" s="331"/>
      <c r="K109" s="331"/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1"/>
      <c r="AG109" s="331"/>
      <c r="AH109" s="331"/>
      <c r="AI109" s="331"/>
      <c r="AJ109" s="331"/>
      <c r="AK109" s="331"/>
      <c r="AL109" s="331"/>
    </row>
    <row r="110" spans="1:39" s="78" customFormat="1" ht="15">
      <c r="A110" s="374"/>
      <c r="B110" s="153" t="s">
        <v>383</v>
      </c>
      <c r="C110" s="153"/>
      <c r="D110" s="153"/>
      <c r="E110" s="154"/>
      <c r="F110" s="154"/>
      <c r="G110" s="154"/>
      <c r="H110" s="151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0"/>
    </row>
    <row r="111" spans="1:39" s="78" customFormat="1" ht="14.25" outlineLevel="1">
      <c r="A111" s="374"/>
      <c r="B111" s="155"/>
      <c r="C111" s="155"/>
      <c r="D111" s="156" t="s">
        <v>384</v>
      </c>
      <c r="E111" s="151"/>
      <c r="F111" s="151"/>
      <c r="G111" s="151"/>
      <c r="H111" s="151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0"/>
    </row>
    <row r="112" spans="1:39" s="78" customFormat="1" ht="14.25" outlineLevel="1">
      <c r="A112" s="374"/>
      <c r="B112" s="155"/>
      <c r="C112" s="155"/>
      <c r="D112" s="157" t="s">
        <v>385</v>
      </c>
      <c r="E112" s="151"/>
      <c r="F112" s="151"/>
      <c r="G112" s="151"/>
      <c r="H112" s="151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0"/>
    </row>
    <row r="113" spans="1:39" s="78" customFormat="1" ht="14.25" outlineLevel="1">
      <c r="A113" s="374"/>
      <c r="B113" s="155"/>
      <c r="C113" s="155"/>
      <c r="D113" s="158" t="s">
        <v>337</v>
      </c>
      <c r="E113" s="151"/>
      <c r="F113" s="151"/>
      <c r="G113" s="151"/>
      <c r="H113" s="151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0"/>
    </row>
    <row r="114" spans="1:39" s="78" customFormat="1" ht="14.25" outlineLevel="1">
      <c r="A114" s="374"/>
      <c r="B114" s="304"/>
      <c r="C114" s="304"/>
      <c r="D114" s="305" t="s">
        <v>444</v>
      </c>
      <c r="E114" s="151"/>
      <c r="F114" s="151"/>
      <c r="G114" s="151"/>
      <c r="H114" s="151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0"/>
    </row>
    <row r="115" spans="1:38" s="78" customFormat="1" ht="14.25" outlineLevel="2">
      <c r="A115" s="374"/>
      <c r="B115" s="363"/>
      <c r="C115" s="364" t="s">
        <v>284</v>
      </c>
      <c r="D115" s="79" t="s">
        <v>332</v>
      </c>
      <c r="E115" s="403" t="s">
        <v>31</v>
      </c>
      <c r="F115" s="404" t="s">
        <v>31</v>
      </c>
      <c r="G115" s="404" t="s">
        <v>31</v>
      </c>
      <c r="H115" s="405" t="s">
        <v>31</v>
      </c>
      <c r="I115" s="340" t="str">
        <f>IF(ROUND(I11+I31+I33,2)&gt;=ROUND(I22-I25,2),"TAK","NIE")</f>
        <v>TAK</v>
      </c>
      <c r="J115" s="336" t="str">
        <f aca="true" t="shared" si="22" ref="J115:AL115">IF(ROUND(J11+J31+J33,2)&gt;=ROUND(J22-J25,2),"TAK","NIE")</f>
        <v>TAK</v>
      </c>
      <c r="K115" s="336" t="str">
        <f t="shared" si="22"/>
        <v>TAK</v>
      </c>
      <c r="L115" s="336" t="str">
        <f t="shared" si="22"/>
        <v>TAK</v>
      </c>
      <c r="M115" s="336" t="str">
        <f t="shared" si="22"/>
        <v>TAK</v>
      </c>
      <c r="N115" s="336" t="str">
        <f t="shared" si="22"/>
        <v>TAK</v>
      </c>
      <c r="O115" s="336" t="str">
        <f t="shared" si="22"/>
        <v>TAK</v>
      </c>
      <c r="P115" s="336" t="str">
        <f t="shared" si="22"/>
        <v>TAK</v>
      </c>
      <c r="Q115" s="336" t="str">
        <f t="shared" si="22"/>
        <v>TAK</v>
      </c>
      <c r="R115" s="336" t="str">
        <f t="shared" si="22"/>
        <v>TAK</v>
      </c>
      <c r="S115" s="336" t="str">
        <f t="shared" si="22"/>
        <v>TAK</v>
      </c>
      <c r="T115" s="336" t="str">
        <f t="shared" si="22"/>
        <v>TAK</v>
      </c>
      <c r="U115" s="336" t="e">
        <f t="shared" si="22"/>
        <v>#REF!</v>
      </c>
      <c r="V115" s="336" t="e">
        <f t="shared" si="22"/>
        <v>#REF!</v>
      </c>
      <c r="W115" s="336" t="e">
        <f t="shared" si="22"/>
        <v>#REF!</v>
      </c>
      <c r="X115" s="336" t="e">
        <f t="shared" si="22"/>
        <v>#REF!</v>
      </c>
      <c r="Y115" s="336" t="e">
        <f t="shared" si="22"/>
        <v>#REF!</v>
      </c>
      <c r="Z115" s="336" t="e">
        <f t="shared" si="22"/>
        <v>#REF!</v>
      </c>
      <c r="AA115" s="336" t="e">
        <f t="shared" si="22"/>
        <v>#REF!</v>
      </c>
      <c r="AB115" s="336" t="e">
        <f t="shared" si="22"/>
        <v>#REF!</v>
      </c>
      <c r="AC115" s="336" t="e">
        <f t="shared" si="22"/>
        <v>#REF!</v>
      </c>
      <c r="AD115" s="336" t="e">
        <f t="shared" si="22"/>
        <v>#REF!</v>
      </c>
      <c r="AE115" s="336" t="e">
        <f t="shared" si="22"/>
        <v>#REF!</v>
      </c>
      <c r="AF115" s="336" t="e">
        <f t="shared" si="22"/>
        <v>#REF!</v>
      </c>
      <c r="AG115" s="336" t="e">
        <f t="shared" si="22"/>
        <v>#REF!</v>
      </c>
      <c r="AH115" s="336" t="e">
        <f t="shared" si="22"/>
        <v>#REF!</v>
      </c>
      <c r="AI115" s="336" t="e">
        <f t="shared" si="22"/>
        <v>#REF!</v>
      </c>
      <c r="AJ115" s="336" t="e">
        <f t="shared" si="22"/>
        <v>#REF!</v>
      </c>
      <c r="AK115" s="336" t="e">
        <f t="shared" si="22"/>
        <v>#REF!</v>
      </c>
      <c r="AL115" s="337" t="e">
        <f t="shared" si="22"/>
        <v>#REF!</v>
      </c>
    </row>
    <row r="116" spans="1:38" s="78" customFormat="1" ht="14.25" outlineLevel="2">
      <c r="A116" s="374"/>
      <c r="B116" s="365"/>
      <c r="C116" s="366"/>
      <c r="D116" s="80" t="s">
        <v>279</v>
      </c>
      <c r="E116" s="406" t="s">
        <v>31</v>
      </c>
      <c r="F116" s="407" t="s">
        <v>31</v>
      </c>
      <c r="G116" s="407" t="s">
        <v>31</v>
      </c>
      <c r="H116" s="408" t="s">
        <v>31</v>
      </c>
      <c r="I116" s="341" t="str">
        <f>IF(I54&lt;=15%,"TAK","NIE")</f>
        <v>TAK</v>
      </c>
      <c r="J116" s="334" t="s">
        <v>31</v>
      </c>
      <c r="K116" s="334" t="s">
        <v>31</v>
      </c>
      <c r="L116" s="334" t="s">
        <v>31</v>
      </c>
      <c r="M116" s="334" t="s">
        <v>31</v>
      </c>
      <c r="N116" s="334" t="s">
        <v>31</v>
      </c>
      <c r="O116" s="334" t="s">
        <v>31</v>
      </c>
      <c r="P116" s="334" t="s">
        <v>31</v>
      </c>
      <c r="Q116" s="334" t="s">
        <v>31</v>
      </c>
      <c r="R116" s="334" t="s">
        <v>31</v>
      </c>
      <c r="S116" s="334" t="s">
        <v>31</v>
      </c>
      <c r="T116" s="334" t="s">
        <v>31</v>
      </c>
      <c r="U116" s="334" t="s">
        <v>31</v>
      </c>
      <c r="V116" s="334" t="s">
        <v>31</v>
      </c>
      <c r="W116" s="334" t="s">
        <v>31</v>
      </c>
      <c r="X116" s="334" t="s">
        <v>31</v>
      </c>
      <c r="Y116" s="334" t="s">
        <v>31</v>
      </c>
      <c r="Z116" s="334" t="s">
        <v>31</v>
      </c>
      <c r="AA116" s="334" t="s">
        <v>31</v>
      </c>
      <c r="AB116" s="334" t="s">
        <v>31</v>
      </c>
      <c r="AC116" s="334" t="s">
        <v>31</v>
      </c>
      <c r="AD116" s="334" t="s">
        <v>31</v>
      </c>
      <c r="AE116" s="334" t="s">
        <v>31</v>
      </c>
      <c r="AF116" s="334" t="s">
        <v>31</v>
      </c>
      <c r="AG116" s="334" t="s">
        <v>31</v>
      </c>
      <c r="AH116" s="334" t="s">
        <v>31</v>
      </c>
      <c r="AI116" s="334" t="s">
        <v>31</v>
      </c>
      <c r="AJ116" s="334" t="s">
        <v>31</v>
      </c>
      <c r="AK116" s="334" t="s">
        <v>31</v>
      </c>
      <c r="AL116" s="335" t="s">
        <v>31</v>
      </c>
    </row>
    <row r="117" spans="1:38" s="78" customFormat="1" ht="14.25" outlineLevel="2">
      <c r="A117" s="374"/>
      <c r="B117" s="365"/>
      <c r="C117" s="366"/>
      <c r="D117" s="80" t="s">
        <v>280</v>
      </c>
      <c r="E117" s="406" t="s">
        <v>31</v>
      </c>
      <c r="F117" s="407" t="s">
        <v>31</v>
      </c>
      <c r="G117" s="407" t="s">
        <v>31</v>
      </c>
      <c r="H117" s="408" t="s">
        <v>31</v>
      </c>
      <c r="I117" s="341" t="str">
        <f>IF(I55&lt;=15%,"TAK","NIE")</f>
        <v>TAK</v>
      </c>
      <c r="J117" s="334" t="s">
        <v>31</v>
      </c>
      <c r="K117" s="334" t="s">
        <v>31</v>
      </c>
      <c r="L117" s="334" t="s">
        <v>31</v>
      </c>
      <c r="M117" s="334" t="s">
        <v>31</v>
      </c>
      <c r="N117" s="334" t="s">
        <v>31</v>
      </c>
      <c r="O117" s="334" t="s">
        <v>31</v>
      </c>
      <c r="P117" s="334" t="s">
        <v>31</v>
      </c>
      <c r="Q117" s="334" t="s">
        <v>31</v>
      </c>
      <c r="R117" s="334" t="s">
        <v>31</v>
      </c>
      <c r="S117" s="334" t="s">
        <v>31</v>
      </c>
      <c r="T117" s="334" t="s">
        <v>31</v>
      </c>
      <c r="U117" s="334" t="s">
        <v>31</v>
      </c>
      <c r="V117" s="334" t="s">
        <v>31</v>
      </c>
      <c r="W117" s="334" t="s">
        <v>31</v>
      </c>
      <c r="X117" s="334" t="s">
        <v>31</v>
      </c>
      <c r="Y117" s="334" t="s">
        <v>31</v>
      </c>
      <c r="Z117" s="334" t="s">
        <v>31</v>
      </c>
      <c r="AA117" s="334" t="s">
        <v>31</v>
      </c>
      <c r="AB117" s="334" t="s">
        <v>31</v>
      </c>
      <c r="AC117" s="334" t="s">
        <v>31</v>
      </c>
      <c r="AD117" s="334" t="s">
        <v>31</v>
      </c>
      <c r="AE117" s="334" t="s">
        <v>31</v>
      </c>
      <c r="AF117" s="334" t="s">
        <v>31</v>
      </c>
      <c r="AG117" s="334" t="s">
        <v>31</v>
      </c>
      <c r="AH117" s="334" t="s">
        <v>31</v>
      </c>
      <c r="AI117" s="334" t="s">
        <v>31</v>
      </c>
      <c r="AJ117" s="334" t="s">
        <v>31</v>
      </c>
      <c r="AK117" s="334" t="s">
        <v>31</v>
      </c>
      <c r="AL117" s="335" t="s">
        <v>31</v>
      </c>
    </row>
    <row r="118" spans="1:38" s="78" customFormat="1" ht="14.25" outlineLevel="2">
      <c r="A118" s="374"/>
      <c r="B118" s="365"/>
      <c r="C118" s="366"/>
      <c r="D118" s="80" t="s">
        <v>386</v>
      </c>
      <c r="E118" s="406" t="s">
        <v>31</v>
      </c>
      <c r="F118" s="407" t="s">
        <v>31</v>
      </c>
      <c r="G118" s="407" t="s">
        <v>31</v>
      </c>
      <c r="H118" s="408" t="s">
        <v>31</v>
      </c>
      <c r="I118" s="341" t="str">
        <f>IF(I47&lt;=60%,"TAK","NIE")</f>
        <v>TAK</v>
      </c>
      <c r="J118" s="334" t="s">
        <v>31</v>
      </c>
      <c r="K118" s="334" t="s">
        <v>31</v>
      </c>
      <c r="L118" s="334" t="s">
        <v>31</v>
      </c>
      <c r="M118" s="334" t="s">
        <v>31</v>
      </c>
      <c r="N118" s="334" t="s">
        <v>31</v>
      </c>
      <c r="O118" s="334" t="s">
        <v>31</v>
      </c>
      <c r="P118" s="334" t="s">
        <v>31</v>
      </c>
      <c r="Q118" s="334" t="s">
        <v>31</v>
      </c>
      <c r="R118" s="334" t="s">
        <v>31</v>
      </c>
      <c r="S118" s="334" t="s">
        <v>31</v>
      </c>
      <c r="T118" s="334" t="s">
        <v>31</v>
      </c>
      <c r="U118" s="334" t="s">
        <v>31</v>
      </c>
      <c r="V118" s="334" t="s">
        <v>31</v>
      </c>
      <c r="W118" s="334" t="s">
        <v>31</v>
      </c>
      <c r="X118" s="334" t="s">
        <v>31</v>
      </c>
      <c r="Y118" s="334" t="s">
        <v>31</v>
      </c>
      <c r="Z118" s="334" t="s">
        <v>31</v>
      </c>
      <c r="AA118" s="334" t="s">
        <v>31</v>
      </c>
      <c r="AB118" s="334" t="s">
        <v>31</v>
      </c>
      <c r="AC118" s="334" t="s">
        <v>31</v>
      </c>
      <c r="AD118" s="334" t="s">
        <v>31</v>
      </c>
      <c r="AE118" s="334" t="s">
        <v>31</v>
      </c>
      <c r="AF118" s="334" t="s">
        <v>31</v>
      </c>
      <c r="AG118" s="334" t="s">
        <v>31</v>
      </c>
      <c r="AH118" s="334" t="s">
        <v>31</v>
      </c>
      <c r="AI118" s="334" t="s">
        <v>31</v>
      </c>
      <c r="AJ118" s="334" t="s">
        <v>31</v>
      </c>
      <c r="AK118" s="334" t="s">
        <v>31</v>
      </c>
      <c r="AL118" s="335" t="s">
        <v>31</v>
      </c>
    </row>
    <row r="119" spans="1:38" s="78" customFormat="1" ht="14.25" outlineLevel="2">
      <c r="A119" s="374"/>
      <c r="B119" s="365"/>
      <c r="C119" s="366"/>
      <c r="D119" s="80" t="s">
        <v>281</v>
      </c>
      <c r="E119" s="406" t="s">
        <v>31</v>
      </c>
      <c r="F119" s="407" t="s">
        <v>31</v>
      </c>
      <c r="G119" s="407" t="s">
        <v>31</v>
      </c>
      <c r="H119" s="408" t="s">
        <v>31</v>
      </c>
      <c r="I119" s="341" t="str">
        <f>IF(I48&lt;=60%,"TAK","NIE")</f>
        <v>TAK</v>
      </c>
      <c r="J119" s="334" t="s">
        <v>31</v>
      </c>
      <c r="K119" s="334" t="s">
        <v>31</v>
      </c>
      <c r="L119" s="334" t="s">
        <v>31</v>
      </c>
      <c r="M119" s="334" t="s">
        <v>31</v>
      </c>
      <c r="N119" s="334" t="s">
        <v>31</v>
      </c>
      <c r="O119" s="334" t="s">
        <v>31</v>
      </c>
      <c r="P119" s="334" t="s">
        <v>31</v>
      </c>
      <c r="Q119" s="334" t="s">
        <v>31</v>
      </c>
      <c r="R119" s="334" t="s">
        <v>31</v>
      </c>
      <c r="S119" s="334" t="s">
        <v>31</v>
      </c>
      <c r="T119" s="334" t="s">
        <v>31</v>
      </c>
      <c r="U119" s="334" t="s">
        <v>31</v>
      </c>
      <c r="V119" s="334" t="s">
        <v>31</v>
      </c>
      <c r="W119" s="334" t="s">
        <v>31</v>
      </c>
      <c r="X119" s="334" t="s">
        <v>31</v>
      </c>
      <c r="Y119" s="334" t="s">
        <v>31</v>
      </c>
      <c r="Z119" s="334" t="s">
        <v>31</v>
      </c>
      <c r="AA119" s="334" t="s">
        <v>31</v>
      </c>
      <c r="AB119" s="334" t="s">
        <v>31</v>
      </c>
      <c r="AC119" s="334" t="s">
        <v>31</v>
      </c>
      <c r="AD119" s="334" t="s">
        <v>31</v>
      </c>
      <c r="AE119" s="334" t="s">
        <v>31</v>
      </c>
      <c r="AF119" s="334" t="s">
        <v>31</v>
      </c>
      <c r="AG119" s="334" t="s">
        <v>31</v>
      </c>
      <c r="AH119" s="334" t="s">
        <v>31</v>
      </c>
      <c r="AI119" s="334" t="s">
        <v>31</v>
      </c>
      <c r="AJ119" s="334" t="s">
        <v>31</v>
      </c>
      <c r="AK119" s="334" t="s">
        <v>31</v>
      </c>
      <c r="AL119" s="335" t="s">
        <v>31</v>
      </c>
    </row>
    <row r="120" spans="1:38" s="78" customFormat="1" ht="24" outlineLevel="2">
      <c r="A120" s="374"/>
      <c r="B120" s="365"/>
      <c r="C120" s="366" t="s">
        <v>282</v>
      </c>
      <c r="D120" s="80" t="s">
        <v>404</v>
      </c>
      <c r="E120" s="406" t="s">
        <v>31</v>
      </c>
      <c r="F120" s="407" t="s">
        <v>31</v>
      </c>
      <c r="G120" s="407" t="s">
        <v>31</v>
      </c>
      <c r="H120" s="408" t="s">
        <v>31</v>
      </c>
      <c r="I120" s="341" t="s">
        <v>31</v>
      </c>
      <c r="J120" s="334" t="s">
        <v>31</v>
      </c>
      <c r="K120" s="334" t="str">
        <f aca="true" t="shared" si="23" ref="K120:AL120">IF(K92=0,"TAK","BŁĄD")</f>
        <v>TAK</v>
      </c>
      <c r="L120" s="334" t="str">
        <f t="shared" si="23"/>
        <v>TAK</v>
      </c>
      <c r="M120" s="334" t="str">
        <f t="shared" si="23"/>
        <v>TAK</v>
      </c>
      <c r="N120" s="334" t="str">
        <f t="shared" si="23"/>
        <v>TAK</v>
      </c>
      <c r="O120" s="334" t="str">
        <f t="shared" si="23"/>
        <v>TAK</v>
      </c>
      <c r="P120" s="334" t="str">
        <f t="shared" si="23"/>
        <v>TAK</v>
      </c>
      <c r="Q120" s="334" t="str">
        <f t="shared" si="23"/>
        <v>TAK</v>
      </c>
      <c r="R120" s="334" t="str">
        <f t="shared" si="23"/>
        <v>TAK</v>
      </c>
      <c r="S120" s="334" t="str">
        <f t="shared" si="23"/>
        <v>TAK</v>
      </c>
      <c r="T120" s="334" t="str">
        <f t="shared" si="23"/>
        <v>TAK</v>
      </c>
      <c r="U120" s="334" t="e">
        <f t="shared" si="23"/>
        <v>#REF!</v>
      </c>
      <c r="V120" s="334" t="e">
        <f t="shared" si="23"/>
        <v>#REF!</v>
      </c>
      <c r="W120" s="334" t="e">
        <f t="shared" si="23"/>
        <v>#REF!</v>
      </c>
      <c r="X120" s="334" t="e">
        <f t="shared" si="23"/>
        <v>#REF!</v>
      </c>
      <c r="Y120" s="334" t="e">
        <f t="shared" si="23"/>
        <v>#REF!</v>
      </c>
      <c r="Z120" s="334" t="e">
        <f t="shared" si="23"/>
        <v>#REF!</v>
      </c>
      <c r="AA120" s="334" t="e">
        <f t="shared" si="23"/>
        <v>#REF!</v>
      </c>
      <c r="AB120" s="334" t="e">
        <f t="shared" si="23"/>
        <v>#REF!</v>
      </c>
      <c r="AC120" s="334" t="e">
        <f t="shared" si="23"/>
        <v>#REF!</v>
      </c>
      <c r="AD120" s="334" t="e">
        <f t="shared" si="23"/>
        <v>#REF!</v>
      </c>
      <c r="AE120" s="334" t="e">
        <f t="shared" si="23"/>
        <v>#REF!</v>
      </c>
      <c r="AF120" s="334" t="e">
        <f t="shared" si="23"/>
        <v>#REF!</v>
      </c>
      <c r="AG120" s="334" t="e">
        <f t="shared" si="23"/>
        <v>#REF!</v>
      </c>
      <c r="AH120" s="334" t="e">
        <f t="shared" si="23"/>
        <v>#REF!</v>
      </c>
      <c r="AI120" s="334" t="e">
        <f t="shared" si="23"/>
        <v>#REF!</v>
      </c>
      <c r="AJ120" s="334" t="e">
        <f t="shared" si="23"/>
        <v>#REF!</v>
      </c>
      <c r="AK120" s="334" t="e">
        <f t="shared" si="23"/>
        <v>#REF!</v>
      </c>
      <c r="AL120" s="335" t="e">
        <f t="shared" si="23"/>
        <v>#REF!</v>
      </c>
    </row>
    <row r="121" spans="1:38" s="78" customFormat="1" ht="14.25" outlineLevel="1">
      <c r="A121" s="374"/>
      <c r="B121" s="365"/>
      <c r="C121" s="366" t="s">
        <v>283</v>
      </c>
      <c r="D121" s="81" t="s">
        <v>333</v>
      </c>
      <c r="E121" s="406" t="s">
        <v>31</v>
      </c>
      <c r="F121" s="407" t="s">
        <v>31</v>
      </c>
      <c r="G121" s="407" t="s">
        <v>31</v>
      </c>
      <c r="H121" s="408" t="s">
        <v>31</v>
      </c>
      <c r="I121" s="346" t="str">
        <f>IF(ROUND(I10+I30-I21-I39,2)=0,"OK",ROUND(I10+I30-I21-I39,2))</f>
        <v>OK</v>
      </c>
      <c r="J121" s="347" t="str">
        <f aca="true" t="shared" si="24" ref="J121:AL121">IF(ROUND(J10+J30-J21-J39,2)=0,"OK",ROUND(J10+J30-J21-J39,2))</f>
        <v>OK</v>
      </c>
      <c r="K121" s="347" t="str">
        <f t="shared" si="24"/>
        <v>OK</v>
      </c>
      <c r="L121" s="347" t="str">
        <f t="shared" si="24"/>
        <v>OK</v>
      </c>
      <c r="M121" s="347" t="str">
        <f t="shared" si="24"/>
        <v>OK</v>
      </c>
      <c r="N121" s="347" t="str">
        <f t="shared" si="24"/>
        <v>OK</v>
      </c>
      <c r="O121" s="347" t="str">
        <f t="shared" si="24"/>
        <v>OK</v>
      </c>
      <c r="P121" s="347" t="str">
        <f t="shared" si="24"/>
        <v>OK</v>
      </c>
      <c r="Q121" s="347" t="str">
        <f t="shared" si="24"/>
        <v>OK</v>
      </c>
      <c r="R121" s="347" t="str">
        <f t="shared" si="24"/>
        <v>OK</v>
      </c>
      <c r="S121" s="347" t="str">
        <f t="shared" si="24"/>
        <v>OK</v>
      </c>
      <c r="T121" s="347" t="str">
        <f t="shared" si="24"/>
        <v>OK</v>
      </c>
      <c r="U121" s="347" t="e">
        <f t="shared" si="24"/>
        <v>#REF!</v>
      </c>
      <c r="V121" s="347" t="e">
        <f t="shared" si="24"/>
        <v>#REF!</v>
      </c>
      <c r="W121" s="347" t="e">
        <f t="shared" si="24"/>
        <v>#REF!</v>
      </c>
      <c r="X121" s="347" t="e">
        <f t="shared" si="24"/>
        <v>#REF!</v>
      </c>
      <c r="Y121" s="347" t="e">
        <f t="shared" si="24"/>
        <v>#REF!</v>
      </c>
      <c r="Z121" s="347" t="e">
        <f t="shared" si="24"/>
        <v>#REF!</v>
      </c>
      <c r="AA121" s="347" t="e">
        <f t="shared" si="24"/>
        <v>#REF!</v>
      </c>
      <c r="AB121" s="347" t="e">
        <f t="shared" si="24"/>
        <v>#REF!</v>
      </c>
      <c r="AC121" s="347" t="e">
        <f t="shared" si="24"/>
        <v>#REF!</v>
      </c>
      <c r="AD121" s="347" t="e">
        <f t="shared" si="24"/>
        <v>#REF!</v>
      </c>
      <c r="AE121" s="347" t="e">
        <f t="shared" si="24"/>
        <v>#REF!</v>
      </c>
      <c r="AF121" s="347" t="e">
        <f t="shared" si="24"/>
        <v>#REF!</v>
      </c>
      <c r="AG121" s="347" t="e">
        <f t="shared" si="24"/>
        <v>#REF!</v>
      </c>
      <c r="AH121" s="347" t="e">
        <f t="shared" si="24"/>
        <v>#REF!</v>
      </c>
      <c r="AI121" s="347" t="e">
        <f t="shared" si="24"/>
        <v>#REF!</v>
      </c>
      <c r="AJ121" s="347" t="e">
        <f t="shared" si="24"/>
        <v>#REF!</v>
      </c>
      <c r="AK121" s="347" t="e">
        <f t="shared" si="24"/>
        <v>#REF!</v>
      </c>
      <c r="AL121" s="348" t="e">
        <f t="shared" si="24"/>
        <v>#REF!</v>
      </c>
    </row>
    <row r="122" spans="1:38" s="78" customFormat="1" ht="14.25" outlineLevel="2">
      <c r="A122" s="374"/>
      <c r="B122" s="371"/>
      <c r="C122" s="378" t="s">
        <v>466</v>
      </c>
      <c r="D122" s="81" t="s">
        <v>334</v>
      </c>
      <c r="E122" s="406" t="s">
        <v>31</v>
      </c>
      <c r="F122" s="407" t="s">
        <v>31</v>
      </c>
      <c r="G122" s="407" t="s">
        <v>31</v>
      </c>
      <c r="H122" s="408" t="s">
        <v>31</v>
      </c>
      <c r="I122" s="346" t="str">
        <f>+IF(ROUND(H44+I35-I40+(I99-H99)+I104-I44,2)=0,"OK",ROUND(H44+I35-I40+(I99-H99)+I104-I44,2))</f>
        <v>OK</v>
      </c>
      <c r="J122" s="347" t="str">
        <f aca="true" t="shared" si="25" ref="J122:AL122">+IF(ROUND(I44+J35-J40+(J99-I99)+J104-J44,2)=0,"OK",ROUND(I44+J35-J40+(J99-I99)+J104-J44,2))</f>
        <v>OK</v>
      </c>
      <c r="K122" s="347" t="str">
        <f t="shared" si="25"/>
        <v>OK</v>
      </c>
      <c r="L122" s="347" t="str">
        <f t="shared" si="25"/>
        <v>OK</v>
      </c>
      <c r="M122" s="347" t="str">
        <f t="shared" si="25"/>
        <v>OK</v>
      </c>
      <c r="N122" s="347" t="str">
        <f t="shared" si="25"/>
        <v>OK</v>
      </c>
      <c r="O122" s="347" t="str">
        <f t="shared" si="25"/>
        <v>OK</v>
      </c>
      <c r="P122" s="347" t="str">
        <f t="shared" si="25"/>
        <v>OK</v>
      </c>
      <c r="Q122" s="347" t="str">
        <f t="shared" si="25"/>
        <v>OK</v>
      </c>
      <c r="R122" s="347" t="str">
        <f t="shared" si="25"/>
        <v>OK</v>
      </c>
      <c r="S122" s="347" t="str">
        <f t="shared" si="25"/>
        <v>OK</v>
      </c>
      <c r="T122" s="347" t="str">
        <f t="shared" si="25"/>
        <v>OK</v>
      </c>
      <c r="U122" s="347" t="e">
        <f t="shared" si="25"/>
        <v>#REF!</v>
      </c>
      <c r="V122" s="347" t="e">
        <f t="shared" si="25"/>
        <v>#REF!</v>
      </c>
      <c r="W122" s="347" t="e">
        <f t="shared" si="25"/>
        <v>#REF!</v>
      </c>
      <c r="X122" s="347" t="e">
        <f t="shared" si="25"/>
        <v>#REF!</v>
      </c>
      <c r="Y122" s="347" t="e">
        <f t="shared" si="25"/>
        <v>#REF!</v>
      </c>
      <c r="Z122" s="347" t="e">
        <f t="shared" si="25"/>
        <v>#REF!</v>
      </c>
      <c r="AA122" s="347" t="e">
        <f t="shared" si="25"/>
        <v>#REF!</v>
      </c>
      <c r="AB122" s="347" t="e">
        <f t="shared" si="25"/>
        <v>#REF!</v>
      </c>
      <c r="AC122" s="347" t="e">
        <f t="shared" si="25"/>
        <v>#REF!</v>
      </c>
      <c r="AD122" s="347" t="e">
        <f t="shared" si="25"/>
        <v>#REF!</v>
      </c>
      <c r="AE122" s="347" t="e">
        <f t="shared" si="25"/>
        <v>#REF!</v>
      </c>
      <c r="AF122" s="347" t="e">
        <f t="shared" si="25"/>
        <v>#REF!</v>
      </c>
      <c r="AG122" s="347" t="e">
        <f t="shared" si="25"/>
        <v>#REF!</v>
      </c>
      <c r="AH122" s="347" t="e">
        <f t="shared" si="25"/>
        <v>#REF!</v>
      </c>
      <c r="AI122" s="347" t="e">
        <f t="shared" si="25"/>
        <v>#REF!</v>
      </c>
      <c r="AJ122" s="347" t="e">
        <f t="shared" si="25"/>
        <v>#REF!</v>
      </c>
      <c r="AK122" s="347" t="e">
        <f t="shared" si="25"/>
        <v>#REF!</v>
      </c>
      <c r="AL122" s="348" t="e">
        <f t="shared" si="25"/>
        <v>#REF!</v>
      </c>
    </row>
    <row r="123" spans="1:38" s="78" customFormat="1" ht="48" outlineLevel="2">
      <c r="A123" s="374"/>
      <c r="B123" s="371"/>
      <c r="C123" s="378" t="s">
        <v>467</v>
      </c>
      <c r="D123" s="81" t="s">
        <v>481</v>
      </c>
      <c r="E123" s="406" t="s">
        <v>31</v>
      </c>
      <c r="F123" s="407" t="s">
        <v>31</v>
      </c>
      <c r="G123" s="407" t="s">
        <v>31</v>
      </c>
      <c r="H123" s="408" t="s">
        <v>31</v>
      </c>
      <c r="I123" s="347" t="str">
        <f>+IF(H99=0,"N/D",IF(ROUND(I99+I100-H99,2)=0,"OK",ROUND(I99+I100-H99,2)))</f>
        <v>N/D</v>
      </c>
      <c r="J123" s="347" t="str">
        <f aca="true" t="shared" si="26" ref="J123:AL123">+IF(I99=0,"N/D",IF(ROUND(J99+J100-I99,2)=0,"OK",ROUND(J99+J100-I99,2)))</f>
        <v>N/D</v>
      </c>
      <c r="K123" s="347" t="str">
        <f t="shared" si="26"/>
        <v>N/D</v>
      </c>
      <c r="L123" s="347" t="str">
        <f t="shared" si="26"/>
        <v>N/D</v>
      </c>
      <c r="M123" s="347" t="str">
        <f t="shared" si="26"/>
        <v>N/D</v>
      </c>
      <c r="N123" s="347" t="str">
        <f t="shared" si="26"/>
        <v>N/D</v>
      </c>
      <c r="O123" s="347" t="str">
        <f t="shared" si="26"/>
        <v>N/D</v>
      </c>
      <c r="P123" s="347" t="str">
        <f t="shared" si="26"/>
        <v>N/D</v>
      </c>
      <c r="Q123" s="347" t="str">
        <f t="shared" si="26"/>
        <v>N/D</v>
      </c>
      <c r="R123" s="347" t="str">
        <f t="shared" si="26"/>
        <v>N/D</v>
      </c>
      <c r="S123" s="347" t="str">
        <f t="shared" si="26"/>
        <v>N/D</v>
      </c>
      <c r="T123" s="347" t="str">
        <f t="shared" si="26"/>
        <v>N/D</v>
      </c>
      <c r="U123" s="347" t="str">
        <f t="shared" si="26"/>
        <v>N/D</v>
      </c>
      <c r="V123" s="347" t="e">
        <f t="shared" si="26"/>
        <v>#REF!</v>
      </c>
      <c r="W123" s="347" t="e">
        <f t="shared" si="26"/>
        <v>#REF!</v>
      </c>
      <c r="X123" s="347" t="e">
        <f t="shared" si="26"/>
        <v>#REF!</v>
      </c>
      <c r="Y123" s="347" t="e">
        <f t="shared" si="26"/>
        <v>#REF!</v>
      </c>
      <c r="Z123" s="347" t="e">
        <f t="shared" si="26"/>
        <v>#REF!</v>
      </c>
      <c r="AA123" s="347" t="e">
        <f t="shared" si="26"/>
        <v>#REF!</v>
      </c>
      <c r="AB123" s="347" t="e">
        <f t="shared" si="26"/>
        <v>#REF!</v>
      </c>
      <c r="AC123" s="347" t="e">
        <f t="shared" si="26"/>
        <v>#REF!</v>
      </c>
      <c r="AD123" s="347" t="e">
        <f t="shared" si="26"/>
        <v>#REF!</v>
      </c>
      <c r="AE123" s="347" t="e">
        <f t="shared" si="26"/>
        <v>#REF!</v>
      </c>
      <c r="AF123" s="347" t="e">
        <f t="shared" si="26"/>
        <v>#REF!</v>
      </c>
      <c r="AG123" s="347" t="e">
        <f t="shared" si="26"/>
        <v>#REF!</v>
      </c>
      <c r="AH123" s="347" t="e">
        <f t="shared" si="26"/>
        <v>#REF!</v>
      </c>
      <c r="AI123" s="347" t="e">
        <f t="shared" si="26"/>
        <v>#REF!</v>
      </c>
      <c r="AJ123" s="347" t="e">
        <f t="shared" si="26"/>
        <v>#REF!</v>
      </c>
      <c r="AK123" s="347" t="e">
        <f t="shared" si="26"/>
        <v>#REF!</v>
      </c>
      <c r="AL123" s="348" t="e">
        <f t="shared" si="26"/>
        <v>#REF!</v>
      </c>
    </row>
    <row r="124" spans="1:38" s="78" customFormat="1" ht="36" outlineLevel="2">
      <c r="A124" s="374"/>
      <c r="B124" s="371"/>
      <c r="C124" s="378" t="s">
        <v>469</v>
      </c>
      <c r="D124" s="81" t="s">
        <v>468</v>
      </c>
      <c r="E124" s="406" t="s">
        <v>31</v>
      </c>
      <c r="F124" s="407" t="s">
        <v>31</v>
      </c>
      <c r="G124" s="407" t="s">
        <v>31</v>
      </c>
      <c r="H124" s="408" t="s">
        <v>31</v>
      </c>
      <c r="I124" s="346" t="str">
        <f>+IF(H90=0,"N/D",IF(ROUND(I90+(I92+I93+I94+I95)-H90,2)=0,"OK",ROUND(I90+(I92+I93+I94+I95)-H90,2)))</f>
        <v>N/D</v>
      </c>
      <c r="J124" s="347" t="str">
        <f aca="true" t="shared" si="27" ref="J124:AL124">+IF(I90=0,"N/D",IF(ROUND(J90+(J92+J93+J94+J95)-I90,2)=0,"OK",ROUND(J90+(J92+J93+J94+J95)-I90,2)))</f>
        <v>N/D</v>
      </c>
      <c r="K124" s="347" t="str">
        <f t="shared" si="27"/>
        <v>N/D</v>
      </c>
      <c r="L124" s="347" t="str">
        <f t="shared" si="27"/>
        <v>N/D</v>
      </c>
      <c r="M124" s="347" t="str">
        <f t="shared" si="27"/>
        <v>N/D</v>
      </c>
      <c r="N124" s="347" t="str">
        <f t="shared" si="27"/>
        <v>N/D</v>
      </c>
      <c r="O124" s="347" t="str">
        <f t="shared" si="27"/>
        <v>N/D</v>
      </c>
      <c r="P124" s="347" t="str">
        <f t="shared" si="27"/>
        <v>N/D</v>
      </c>
      <c r="Q124" s="347" t="str">
        <f t="shared" si="27"/>
        <v>N/D</v>
      </c>
      <c r="R124" s="347" t="str">
        <f t="shared" si="27"/>
        <v>N/D</v>
      </c>
      <c r="S124" s="347" t="str">
        <f t="shared" si="27"/>
        <v>N/D</v>
      </c>
      <c r="T124" s="347" t="str">
        <f t="shared" si="27"/>
        <v>N/D</v>
      </c>
      <c r="U124" s="347" t="str">
        <f t="shared" si="27"/>
        <v>N/D</v>
      </c>
      <c r="V124" s="347" t="e">
        <f t="shared" si="27"/>
        <v>#REF!</v>
      </c>
      <c r="W124" s="347" t="e">
        <f t="shared" si="27"/>
        <v>#REF!</v>
      </c>
      <c r="X124" s="347" t="e">
        <f t="shared" si="27"/>
        <v>#REF!</v>
      </c>
      <c r="Y124" s="347" t="e">
        <f t="shared" si="27"/>
        <v>#REF!</v>
      </c>
      <c r="Z124" s="347" t="e">
        <f t="shared" si="27"/>
        <v>#REF!</v>
      </c>
      <c r="AA124" s="347" t="e">
        <f t="shared" si="27"/>
        <v>#REF!</v>
      </c>
      <c r="AB124" s="347" t="e">
        <f t="shared" si="27"/>
        <v>#REF!</v>
      </c>
      <c r="AC124" s="347" t="e">
        <f t="shared" si="27"/>
        <v>#REF!</v>
      </c>
      <c r="AD124" s="347" t="e">
        <f t="shared" si="27"/>
        <v>#REF!</v>
      </c>
      <c r="AE124" s="347" t="e">
        <f t="shared" si="27"/>
        <v>#REF!</v>
      </c>
      <c r="AF124" s="347" t="e">
        <f t="shared" si="27"/>
        <v>#REF!</v>
      </c>
      <c r="AG124" s="347" t="e">
        <f t="shared" si="27"/>
        <v>#REF!</v>
      </c>
      <c r="AH124" s="347" t="e">
        <f t="shared" si="27"/>
        <v>#REF!</v>
      </c>
      <c r="AI124" s="347" t="e">
        <f t="shared" si="27"/>
        <v>#REF!</v>
      </c>
      <c r="AJ124" s="347" t="e">
        <f t="shared" si="27"/>
        <v>#REF!</v>
      </c>
      <c r="AK124" s="347" t="e">
        <f t="shared" si="27"/>
        <v>#REF!</v>
      </c>
      <c r="AL124" s="348" t="e">
        <f t="shared" si="27"/>
        <v>#REF!</v>
      </c>
    </row>
    <row r="125" spans="1:38" s="78" customFormat="1" ht="14.25" outlineLevel="1">
      <c r="A125" s="374"/>
      <c r="B125" s="365"/>
      <c r="C125" s="366" t="s">
        <v>285</v>
      </c>
      <c r="D125" s="82" t="s">
        <v>335</v>
      </c>
      <c r="E125" s="406" t="s">
        <v>31</v>
      </c>
      <c r="F125" s="407" t="s">
        <v>31</v>
      </c>
      <c r="G125" s="407" t="s">
        <v>31</v>
      </c>
      <c r="H125" s="408" t="s">
        <v>31</v>
      </c>
      <c r="I125" s="343" t="str">
        <f>IF(I29&lt;0,IF(ROUND(I32+I34+I36+I38+I29,2)=0,"OK",ROUND(I32+I34+I36+I38+I29,2)),"N/D")</f>
        <v>N/D</v>
      </c>
      <c r="J125" s="344" t="str">
        <f aca="true" t="shared" si="28" ref="J125:AL125">IF(J29&lt;0,IF(ROUND(J32+J34+J36+J38+J29,2)=0,"OK",ROUND(J32+J34+J36+J38+J29,2)),"N/D")</f>
        <v>N/D</v>
      </c>
      <c r="K125" s="344" t="str">
        <f t="shared" si="28"/>
        <v>N/D</v>
      </c>
      <c r="L125" s="344" t="str">
        <f t="shared" si="28"/>
        <v>N/D</v>
      </c>
      <c r="M125" s="344" t="str">
        <f t="shared" si="28"/>
        <v>N/D</v>
      </c>
      <c r="N125" s="344" t="str">
        <f t="shared" si="28"/>
        <v>N/D</v>
      </c>
      <c r="O125" s="344" t="str">
        <f t="shared" si="28"/>
        <v>N/D</v>
      </c>
      <c r="P125" s="344" t="str">
        <f t="shared" si="28"/>
        <v>N/D</v>
      </c>
      <c r="Q125" s="344" t="str">
        <f t="shared" si="28"/>
        <v>N/D</v>
      </c>
      <c r="R125" s="344" t="str">
        <f t="shared" si="28"/>
        <v>N/D</v>
      </c>
      <c r="S125" s="344" t="str">
        <f t="shared" si="28"/>
        <v>N/D</v>
      </c>
      <c r="T125" s="344" t="str">
        <f t="shared" si="28"/>
        <v>N/D</v>
      </c>
      <c r="U125" s="344" t="e">
        <f t="shared" si="28"/>
        <v>#REF!</v>
      </c>
      <c r="V125" s="344" t="e">
        <f t="shared" si="28"/>
        <v>#REF!</v>
      </c>
      <c r="W125" s="344" t="e">
        <f t="shared" si="28"/>
        <v>#REF!</v>
      </c>
      <c r="X125" s="344" t="e">
        <f t="shared" si="28"/>
        <v>#REF!</v>
      </c>
      <c r="Y125" s="344" t="e">
        <f t="shared" si="28"/>
        <v>#REF!</v>
      </c>
      <c r="Z125" s="344" t="e">
        <f t="shared" si="28"/>
        <v>#REF!</v>
      </c>
      <c r="AA125" s="344" t="e">
        <f t="shared" si="28"/>
        <v>#REF!</v>
      </c>
      <c r="AB125" s="344" t="e">
        <f t="shared" si="28"/>
        <v>#REF!</v>
      </c>
      <c r="AC125" s="344" t="e">
        <f t="shared" si="28"/>
        <v>#REF!</v>
      </c>
      <c r="AD125" s="344" t="e">
        <f t="shared" si="28"/>
        <v>#REF!</v>
      </c>
      <c r="AE125" s="344" t="e">
        <f t="shared" si="28"/>
        <v>#REF!</v>
      </c>
      <c r="AF125" s="344" t="e">
        <f t="shared" si="28"/>
        <v>#REF!</v>
      </c>
      <c r="AG125" s="344" t="e">
        <f t="shared" si="28"/>
        <v>#REF!</v>
      </c>
      <c r="AH125" s="344" t="e">
        <f t="shared" si="28"/>
        <v>#REF!</v>
      </c>
      <c r="AI125" s="344" t="e">
        <f t="shared" si="28"/>
        <v>#REF!</v>
      </c>
      <c r="AJ125" s="344" t="e">
        <f t="shared" si="28"/>
        <v>#REF!</v>
      </c>
      <c r="AK125" s="344" t="e">
        <f t="shared" si="28"/>
        <v>#REF!</v>
      </c>
      <c r="AL125" s="345" t="e">
        <f t="shared" si="28"/>
        <v>#REF!</v>
      </c>
    </row>
    <row r="126" spans="1:38" s="78" customFormat="1" ht="14.25" outlineLevel="2">
      <c r="A126" s="374"/>
      <c r="B126" s="365"/>
      <c r="C126" s="366" t="s">
        <v>286</v>
      </c>
      <c r="D126" s="82" t="s">
        <v>336</v>
      </c>
      <c r="E126" s="406" t="s">
        <v>31</v>
      </c>
      <c r="F126" s="407" t="s">
        <v>31</v>
      </c>
      <c r="G126" s="407" t="s">
        <v>31</v>
      </c>
      <c r="H126" s="408" t="s">
        <v>31</v>
      </c>
      <c r="I126" s="343" t="str">
        <f>IF(I29&gt;=0,IF(ROUND(I32+I34+I36+I38,2)=0,"OK",ROUND(I32+I34+I36+I38,2)),"N/D")</f>
        <v>OK</v>
      </c>
      <c r="J126" s="344" t="str">
        <f aca="true" t="shared" si="29" ref="J126:AL126">IF(J29&gt;=0,IF(ROUND(J32+J34+J36+J38,2)=0,"OK",ROUND(J32+J34+J36+J38,2)),"N/D")</f>
        <v>OK</v>
      </c>
      <c r="K126" s="344" t="str">
        <f t="shared" si="29"/>
        <v>OK</v>
      </c>
      <c r="L126" s="344" t="str">
        <f t="shared" si="29"/>
        <v>OK</v>
      </c>
      <c r="M126" s="344" t="str">
        <f t="shared" si="29"/>
        <v>OK</v>
      </c>
      <c r="N126" s="344" t="str">
        <f t="shared" si="29"/>
        <v>OK</v>
      </c>
      <c r="O126" s="344" t="str">
        <f t="shared" si="29"/>
        <v>OK</v>
      </c>
      <c r="P126" s="344" t="str">
        <f t="shared" si="29"/>
        <v>OK</v>
      </c>
      <c r="Q126" s="344" t="str">
        <f t="shared" si="29"/>
        <v>OK</v>
      </c>
      <c r="R126" s="344" t="str">
        <f t="shared" si="29"/>
        <v>OK</v>
      </c>
      <c r="S126" s="344" t="str">
        <f t="shared" si="29"/>
        <v>OK</v>
      </c>
      <c r="T126" s="344" t="str">
        <f t="shared" si="29"/>
        <v>OK</v>
      </c>
      <c r="U126" s="344" t="e">
        <f t="shared" si="29"/>
        <v>#REF!</v>
      </c>
      <c r="V126" s="344" t="e">
        <f t="shared" si="29"/>
        <v>#REF!</v>
      </c>
      <c r="W126" s="344" t="e">
        <f t="shared" si="29"/>
        <v>#REF!</v>
      </c>
      <c r="X126" s="344" t="e">
        <f t="shared" si="29"/>
        <v>#REF!</v>
      </c>
      <c r="Y126" s="344" t="e">
        <f t="shared" si="29"/>
        <v>#REF!</v>
      </c>
      <c r="Z126" s="344" t="e">
        <f t="shared" si="29"/>
        <v>#REF!</v>
      </c>
      <c r="AA126" s="344" t="e">
        <f t="shared" si="29"/>
        <v>#REF!</v>
      </c>
      <c r="AB126" s="344" t="e">
        <f t="shared" si="29"/>
        <v>#REF!</v>
      </c>
      <c r="AC126" s="344" t="e">
        <f t="shared" si="29"/>
        <v>#REF!</v>
      </c>
      <c r="AD126" s="344" t="e">
        <f t="shared" si="29"/>
        <v>#REF!</v>
      </c>
      <c r="AE126" s="344" t="e">
        <f t="shared" si="29"/>
        <v>#REF!</v>
      </c>
      <c r="AF126" s="344" t="e">
        <f t="shared" si="29"/>
        <v>#REF!</v>
      </c>
      <c r="AG126" s="344" t="e">
        <f t="shared" si="29"/>
        <v>#REF!</v>
      </c>
      <c r="AH126" s="344" t="e">
        <f t="shared" si="29"/>
        <v>#REF!</v>
      </c>
      <c r="AI126" s="344" t="e">
        <f t="shared" si="29"/>
        <v>#REF!</v>
      </c>
      <c r="AJ126" s="344" t="e">
        <f t="shared" si="29"/>
        <v>#REF!</v>
      </c>
      <c r="AK126" s="344" t="e">
        <f t="shared" si="29"/>
        <v>#REF!</v>
      </c>
      <c r="AL126" s="345" t="e">
        <f t="shared" si="29"/>
        <v>#REF!</v>
      </c>
    </row>
    <row r="127" spans="1:38" s="78" customFormat="1" ht="14.25" outlineLevel="2">
      <c r="A127" s="374"/>
      <c r="B127" s="365"/>
      <c r="C127" s="366" t="s">
        <v>287</v>
      </c>
      <c r="D127" s="82" t="s">
        <v>338</v>
      </c>
      <c r="E127" s="406" t="s">
        <v>31</v>
      </c>
      <c r="F127" s="407" t="s">
        <v>31</v>
      </c>
      <c r="G127" s="407" t="s">
        <v>31</v>
      </c>
      <c r="H127" s="408" t="s">
        <v>31</v>
      </c>
      <c r="I127" s="341" t="str">
        <f aca="true" t="shared" si="30" ref="I127:AL127">IF(I14&gt;=I15,"OK","BŁĄD")</f>
        <v>OK</v>
      </c>
      <c r="J127" s="334" t="str">
        <f t="shared" si="30"/>
        <v>OK</v>
      </c>
      <c r="K127" s="334" t="str">
        <f t="shared" si="30"/>
        <v>OK</v>
      </c>
      <c r="L127" s="334" t="str">
        <f t="shared" si="30"/>
        <v>OK</v>
      </c>
      <c r="M127" s="334" t="str">
        <f t="shared" si="30"/>
        <v>OK</v>
      </c>
      <c r="N127" s="334" t="str">
        <f t="shared" si="30"/>
        <v>OK</v>
      </c>
      <c r="O127" s="334" t="str">
        <f t="shared" si="30"/>
        <v>OK</v>
      </c>
      <c r="P127" s="334" t="str">
        <f t="shared" si="30"/>
        <v>OK</v>
      </c>
      <c r="Q127" s="334" t="str">
        <f t="shared" si="30"/>
        <v>OK</v>
      </c>
      <c r="R127" s="334" t="str">
        <f t="shared" si="30"/>
        <v>OK</v>
      </c>
      <c r="S127" s="334" t="str">
        <f t="shared" si="30"/>
        <v>OK</v>
      </c>
      <c r="T127" s="334" t="str">
        <f t="shared" si="30"/>
        <v>OK</v>
      </c>
      <c r="U127" s="334" t="e">
        <f t="shared" si="30"/>
        <v>#REF!</v>
      </c>
      <c r="V127" s="334" t="e">
        <f t="shared" si="30"/>
        <v>#REF!</v>
      </c>
      <c r="W127" s="334" t="e">
        <f t="shared" si="30"/>
        <v>#REF!</v>
      </c>
      <c r="X127" s="334" t="e">
        <f t="shared" si="30"/>
        <v>#REF!</v>
      </c>
      <c r="Y127" s="334" t="e">
        <f t="shared" si="30"/>
        <v>#REF!</v>
      </c>
      <c r="Z127" s="334" t="e">
        <f t="shared" si="30"/>
        <v>#REF!</v>
      </c>
      <c r="AA127" s="334" t="e">
        <f t="shared" si="30"/>
        <v>#REF!</v>
      </c>
      <c r="AB127" s="334" t="e">
        <f t="shared" si="30"/>
        <v>#REF!</v>
      </c>
      <c r="AC127" s="334" t="e">
        <f t="shared" si="30"/>
        <v>#REF!</v>
      </c>
      <c r="AD127" s="334" t="e">
        <f t="shared" si="30"/>
        <v>#REF!</v>
      </c>
      <c r="AE127" s="334" t="e">
        <f t="shared" si="30"/>
        <v>#REF!</v>
      </c>
      <c r="AF127" s="334" t="e">
        <f t="shared" si="30"/>
        <v>#REF!</v>
      </c>
      <c r="AG127" s="334" t="e">
        <f t="shared" si="30"/>
        <v>#REF!</v>
      </c>
      <c r="AH127" s="334" t="e">
        <f t="shared" si="30"/>
        <v>#REF!</v>
      </c>
      <c r="AI127" s="334" t="e">
        <f t="shared" si="30"/>
        <v>#REF!</v>
      </c>
      <c r="AJ127" s="334" t="e">
        <f t="shared" si="30"/>
        <v>#REF!</v>
      </c>
      <c r="AK127" s="334" t="e">
        <f t="shared" si="30"/>
        <v>#REF!</v>
      </c>
      <c r="AL127" s="335" t="e">
        <f t="shared" si="30"/>
        <v>#REF!</v>
      </c>
    </row>
    <row r="128" spans="1:38" s="78" customFormat="1" ht="14.25" outlineLevel="2">
      <c r="A128" s="374"/>
      <c r="B128" s="365"/>
      <c r="C128" s="366" t="s">
        <v>288</v>
      </c>
      <c r="D128" s="82" t="s">
        <v>339</v>
      </c>
      <c r="E128" s="406" t="s">
        <v>31</v>
      </c>
      <c r="F128" s="407" t="s">
        <v>31</v>
      </c>
      <c r="G128" s="407" t="s">
        <v>31</v>
      </c>
      <c r="H128" s="408" t="s">
        <v>31</v>
      </c>
      <c r="I128" s="341" t="str">
        <f aca="true" t="shared" si="31" ref="I128:AL128">IF(I17&gt;=I91,"OK","BŁĄD")</f>
        <v>OK</v>
      </c>
      <c r="J128" s="334" t="str">
        <f t="shared" si="31"/>
        <v>OK</v>
      </c>
      <c r="K128" s="334" t="str">
        <f t="shared" si="31"/>
        <v>OK</v>
      </c>
      <c r="L128" s="334" t="str">
        <f t="shared" si="31"/>
        <v>OK</v>
      </c>
      <c r="M128" s="334" t="str">
        <f t="shared" si="31"/>
        <v>OK</v>
      </c>
      <c r="N128" s="334" t="str">
        <f t="shared" si="31"/>
        <v>OK</v>
      </c>
      <c r="O128" s="334" t="str">
        <f t="shared" si="31"/>
        <v>OK</v>
      </c>
      <c r="P128" s="334" t="str">
        <f t="shared" si="31"/>
        <v>OK</v>
      </c>
      <c r="Q128" s="334" t="str">
        <f t="shared" si="31"/>
        <v>OK</v>
      </c>
      <c r="R128" s="334" t="str">
        <f t="shared" si="31"/>
        <v>OK</v>
      </c>
      <c r="S128" s="334" t="str">
        <f t="shared" si="31"/>
        <v>OK</v>
      </c>
      <c r="T128" s="334" t="str">
        <f t="shared" si="31"/>
        <v>OK</v>
      </c>
      <c r="U128" s="334" t="e">
        <f t="shared" si="31"/>
        <v>#REF!</v>
      </c>
      <c r="V128" s="334" t="e">
        <f t="shared" si="31"/>
        <v>#REF!</v>
      </c>
      <c r="W128" s="334" t="e">
        <f t="shared" si="31"/>
        <v>#REF!</v>
      </c>
      <c r="X128" s="334" t="e">
        <f t="shared" si="31"/>
        <v>#REF!</v>
      </c>
      <c r="Y128" s="334" t="e">
        <f t="shared" si="31"/>
        <v>#REF!</v>
      </c>
      <c r="Z128" s="334" t="e">
        <f t="shared" si="31"/>
        <v>#REF!</v>
      </c>
      <c r="AA128" s="334" t="e">
        <f t="shared" si="31"/>
        <v>#REF!</v>
      </c>
      <c r="AB128" s="334" t="e">
        <f t="shared" si="31"/>
        <v>#REF!</v>
      </c>
      <c r="AC128" s="334" t="e">
        <f t="shared" si="31"/>
        <v>#REF!</v>
      </c>
      <c r="AD128" s="334" t="e">
        <f t="shared" si="31"/>
        <v>#REF!</v>
      </c>
      <c r="AE128" s="334" t="e">
        <f t="shared" si="31"/>
        <v>#REF!</v>
      </c>
      <c r="AF128" s="334" t="e">
        <f t="shared" si="31"/>
        <v>#REF!</v>
      </c>
      <c r="AG128" s="334" t="e">
        <f t="shared" si="31"/>
        <v>#REF!</v>
      </c>
      <c r="AH128" s="334" t="e">
        <f t="shared" si="31"/>
        <v>#REF!</v>
      </c>
      <c r="AI128" s="334" t="e">
        <f t="shared" si="31"/>
        <v>#REF!</v>
      </c>
      <c r="AJ128" s="334" t="e">
        <f t="shared" si="31"/>
        <v>#REF!</v>
      </c>
      <c r="AK128" s="334" t="e">
        <f t="shared" si="31"/>
        <v>#REF!</v>
      </c>
      <c r="AL128" s="335" t="e">
        <f t="shared" si="31"/>
        <v>#REF!</v>
      </c>
    </row>
    <row r="129" spans="1:38" s="78" customFormat="1" ht="14.25" outlineLevel="2">
      <c r="A129" s="374"/>
      <c r="B129" s="365"/>
      <c r="C129" s="366" t="s">
        <v>289</v>
      </c>
      <c r="D129" s="82" t="s">
        <v>340</v>
      </c>
      <c r="E129" s="406" t="s">
        <v>31</v>
      </c>
      <c r="F129" s="407" t="s">
        <v>31</v>
      </c>
      <c r="G129" s="407" t="s">
        <v>31</v>
      </c>
      <c r="H129" s="408" t="s">
        <v>31</v>
      </c>
      <c r="I129" s="341" t="str">
        <f aca="true" t="shared" si="32" ref="I129:AL129">IF(I11&gt;=I12+I13+I14+I16+I17,"OK","BŁĄD")</f>
        <v>OK</v>
      </c>
      <c r="J129" s="334" t="str">
        <f t="shared" si="32"/>
        <v>OK</v>
      </c>
      <c r="K129" s="334" t="str">
        <f t="shared" si="32"/>
        <v>OK</v>
      </c>
      <c r="L129" s="334" t="str">
        <f t="shared" si="32"/>
        <v>OK</v>
      </c>
      <c r="M129" s="334" t="str">
        <f t="shared" si="32"/>
        <v>OK</v>
      </c>
      <c r="N129" s="334" t="str">
        <f t="shared" si="32"/>
        <v>OK</v>
      </c>
      <c r="O129" s="334" t="str">
        <f t="shared" si="32"/>
        <v>OK</v>
      </c>
      <c r="P129" s="334" t="str">
        <f t="shared" si="32"/>
        <v>OK</v>
      </c>
      <c r="Q129" s="334" t="str">
        <f t="shared" si="32"/>
        <v>OK</v>
      </c>
      <c r="R129" s="334" t="str">
        <f t="shared" si="32"/>
        <v>OK</v>
      </c>
      <c r="S129" s="334" t="str">
        <f t="shared" si="32"/>
        <v>OK</v>
      </c>
      <c r="T129" s="334" t="str">
        <f t="shared" si="32"/>
        <v>OK</v>
      </c>
      <c r="U129" s="334" t="e">
        <f t="shared" si="32"/>
        <v>#REF!</v>
      </c>
      <c r="V129" s="334" t="e">
        <f t="shared" si="32"/>
        <v>#REF!</v>
      </c>
      <c r="W129" s="334" t="e">
        <f t="shared" si="32"/>
        <v>#REF!</v>
      </c>
      <c r="X129" s="334" t="e">
        <f t="shared" si="32"/>
        <v>#REF!</v>
      </c>
      <c r="Y129" s="334" t="e">
        <f t="shared" si="32"/>
        <v>#REF!</v>
      </c>
      <c r="Z129" s="334" t="e">
        <f t="shared" si="32"/>
        <v>#REF!</v>
      </c>
      <c r="AA129" s="334" t="e">
        <f t="shared" si="32"/>
        <v>#REF!</v>
      </c>
      <c r="AB129" s="334" t="e">
        <f t="shared" si="32"/>
        <v>#REF!</v>
      </c>
      <c r="AC129" s="334" t="e">
        <f t="shared" si="32"/>
        <v>#REF!</v>
      </c>
      <c r="AD129" s="334" t="e">
        <f t="shared" si="32"/>
        <v>#REF!</v>
      </c>
      <c r="AE129" s="334" t="e">
        <f t="shared" si="32"/>
        <v>#REF!</v>
      </c>
      <c r="AF129" s="334" t="e">
        <f t="shared" si="32"/>
        <v>#REF!</v>
      </c>
      <c r="AG129" s="334" t="e">
        <f t="shared" si="32"/>
        <v>#REF!</v>
      </c>
      <c r="AH129" s="334" t="e">
        <f t="shared" si="32"/>
        <v>#REF!</v>
      </c>
      <c r="AI129" s="334" t="e">
        <f t="shared" si="32"/>
        <v>#REF!</v>
      </c>
      <c r="AJ129" s="334" t="e">
        <f t="shared" si="32"/>
        <v>#REF!</v>
      </c>
      <c r="AK129" s="334" t="e">
        <f t="shared" si="32"/>
        <v>#REF!</v>
      </c>
      <c r="AL129" s="335" t="e">
        <f t="shared" si="32"/>
        <v>#REF!</v>
      </c>
    </row>
    <row r="130" spans="1:38" s="78" customFormat="1" ht="14.25" outlineLevel="2">
      <c r="A130" s="374"/>
      <c r="B130" s="365"/>
      <c r="C130" s="366" t="s">
        <v>290</v>
      </c>
      <c r="D130" s="82" t="s">
        <v>341</v>
      </c>
      <c r="E130" s="406" t="s">
        <v>31</v>
      </c>
      <c r="F130" s="407" t="s">
        <v>31</v>
      </c>
      <c r="G130" s="407" t="s">
        <v>31</v>
      </c>
      <c r="H130" s="408" t="s">
        <v>31</v>
      </c>
      <c r="I130" s="341" t="str">
        <f aca="true" t="shared" si="33" ref="I130:AL130">IF(I11&gt;=I77,"OK","BŁĄD")</f>
        <v>OK</v>
      </c>
      <c r="J130" s="334" t="str">
        <f t="shared" si="33"/>
        <v>OK</v>
      </c>
      <c r="K130" s="334" t="str">
        <f t="shared" si="33"/>
        <v>OK</v>
      </c>
      <c r="L130" s="334" t="str">
        <f t="shared" si="33"/>
        <v>OK</v>
      </c>
      <c r="M130" s="334" t="str">
        <f t="shared" si="33"/>
        <v>OK</v>
      </c>
      <c r="N130" s="334" t="str">
        <f t="shared" si="33"/>
        <v>OK</v>
      </c>
      <c r="O130" s="334" t="str">
        <f t="shared" si="33"/>
        <v>OK</v>
      </c>
      <c r="P130" s="334" t="str">
        <f t="shared" si="33"/>
        <v>OK</v>
      </c>
      <c r="Q130" s="334" t="str">
        <f t="shared" si="33"/>
        <v>OK</v>
      </c>
      <c r="R130" s="334" t="str">
        <f t="shared" si="33"/>
        <v>OK</v>
      </c>
      <c r="S130" s="334" t="str">
        <f t="shared" si="33"/>
        <v>OK</v>
      </c>
      <c r="T130" s="334" t="str">
        <f t="shared" si="33"/>
        <v>OK</v>
      </c>
      <c r="U130" s="334" t="e">
        <f t="shared" si="33"/>
        <v>#REF!</v>
      </c>
      <c r="V130" s="334" t="e">
        <f t="shared" si="33"/>
        <v>#REF!</v>
      </c>
      <c r="W130" s="334" t="e">
        <f t="shared" si="33"/>
        <v>#REF!</v>
      </c>
      <c r="X130" s="334" t="e">
        <f t="shared" si="33"/>
        <v>#REF!</v>
      </c>
      <c r="Y130" s="334" t="e">
        <f t="shared" si="33"/>
        <v>#REF!</v>
      </c>
      <c r="Z130" s="334" t="e">
        <f t="shared" si="33"/>
        <v>#REF!</v>
      </c>
      <c r="AA130" s="334" t="e">
        <f t="shared" si="33"/>
        <v>#REF!</v>
      </c>
      <c r="AB130" s="334" t="e">
        <f t="shared" si="33"/>
        <v>#REF!</v>
      </c>
      <c r="AC130" s="334" t="e">
        <f t="shared" si="33"/>
        <v>#REF!</v>
      </c>
      <c r="AD130" s="334" t="e">
        <f t="shared" si="33"/>
        <v>#REF!</v>
      </c>
      <c r="AE130" s="334" t="e">
        <f t="shared" si="33"/>
        <v>#REF!</v>
      </c>
      <c r="AF130" s="334" t="e">
        <f t="shared" si="33"/>
        <v>#REF!</v>
      </c>
      <c r="AG130" s="334" t="e">
        <f t="shared" si="33"/>
        <v>#REF!</v>
      </c>
      <c r="AH130" s="334" t="e">
        <f t="shared" si="33"/>
        <v>#REF!</v>
      </c>
      <c r="AI130" s="334" t="e">
        <f t="shared" si="33"/>
        <v>#REF!</v>
      </c>
      <c r="AJ130" s="334" t="e">
        <f t="shared" si="33"/>
        <v>#REF!</v>
      </c>
      <c r="AK130" s="334" t="e">
        <f t="shared" si="33"/>
        <v>#REF!</v>
      </c>
      <c r="AL130" s="335" t="e">
        <f t="shared" si="33"/>
        <v>#REF!</v>
      </c>
    </row>
    <row r="131" spans="1:38" s="78" customFormat="1" ht="14.25" outlineLevel="2">
      <c r="A131" s="374"/>
      <c r="B131" s="365"/>
      <c r="C131" s="366" t="s">
        <v>291</v>
      </c>
      <c r="D131" s="82" t="s">
        <v>342</v>
      </c>
      <c r="E131" s="406" t="s">
        <v>31</v>
      </c>
      <c r="F131" s="407" t="s">
        <v>31</v>
      </c>
      <c r="G131" s="407" t="s">
        <v>31</v>
      </c>
      <c r="H131" s="408" t="s">
        <v>31</v>
      </c>
      <c r="I131" s="341" t="str">
        <f aca="true" t="shared" si="34" ref="I131:AL131">IF(I18&gt;=I19,"OK","BŁĄD")</f>
        <v>OK</v>
      </c>
      <c r="J131" s="334" t="str">
        <f t="shared" si="34"/>
        <v>OK</v>
      </c>
      <c r="K131" s="334" t="str">
        <f t="shared" si="34"/>
        <v>OK</v>
      </c>
      <c r="L131" s="334" t="str">
        <f t="shared" si="34"/>
        <v>OK</v>
      </c>
      <c r="M131" s="334" t="str">
        <f t="shared" si="34"/>
        <v>OK</v>
      </c>
      <c r="N131" s="334" t="str">
        <f t="shared" si="34"/>
        <v>OK</v>
      </c>
      <c r="O131" s="334" t="str">
        <f t="shared" si="34"/>
        <v>OK</v>
      </c>
      <c r="P131" s="334" t="str">
        <f t="shared" si="34"/>
        <v>OK</v>
      </c>
      <c r="Q131" s="334" t="str">
        <f t="shared" si="34"/>
        <v>OK</v>
      </c>
      <c r="R131" s="334" t="str">
        <f t="shared" si="34"/>
        <v>OK</v>
      </c>
      <c r="S131" s="334" t="str">
        <f t="shared" si="34"/>
        <v>OK</v>
      </c>
      <c r="T131" s="334" t="str">
        <f t="shared" si="34"/>
        <v>OK</v>
      </c>
      <c r="U131" s="334" t="e">
        <f t="shared" si="34"/>
        <v>#REF!</v>
      </c>
      <c r="V131" s="334" t="e">
        <f t="shared" si="34"/>
        <v>#REF!</v>
      </c>
      <c r="W131" s="334" t="e">
        <f t="shared" si="34"/>
        <v>#REF!</v>
      </c>
      <c r="X131" s="334" t="e">
        <f t="shared" si="34"/>
        <v>#REF!</v>
      </c>
      <c r="Y131" s="334" t="e">
        <f t="shared" si="34"/>
        <v>#REF!</v>
      </c>
      <c r="Z131" s="334" t="e">
        <f t="shared" si="34"/>
        <v>#REF!</v>
      </c>
      <c r="AA131" s="334" t="e">
        <f t="shared" si="34"/>
        <v>#REF!</v>
      </c>
      <c r="AB131" s="334" t="e">
        <f t="shared" si="34"/>
        <v>#REF!</v>
      </c>
      <c r="AC131" s="334" t="e">
        <f t="shared" si="34"/>
        <v>#REF!</v>
      </c>
      <c r="AD131" s="334" t="e">
        <f t="shared" si="34"/>
        <v>#REF!</v>
      </c>
      <c r="AE131" s="334" t="e">
        <f t="shared" si="34"/>
        <v>#REF!</v>
      </c>
      <c r="AF131" s="334" t="e">
        <f t="shared" si="34"/>
        <v>#REF!</v>
      </c>
      <c r="AG131" s="334" t="e">
        <f t="shared" si="34"/>
        <v>#REF!</v>
      </c>
      <c r="AH131" s="334" t="e">
        <f t="shared" si="34"/>
        <v>#REF!</v>
      </c>
      <c r="AI131" s="334" t="e">
        <f t="shared" si="34"/>
        <v>#REF!</v>
      </c>
      <c r="AJ131" s="334" t="e">
        <f t="shared" si="34"/>
        <v>#REF!</v>
      </c>
      <c r="AK131" s="334" t="e">
        <f t="shared" si="34"/>
        <v>#REF!</v>
      </c>
      <c r="AL131" s="335" t="e">
        <f t="shared" si="34"/>
        <v>#REF!</v>
      </c>
    </row>
    <row r="132" spans="1:38" s="78" customFormat="1" ht="14.25" outlineLevel="2">
      <c r="A132" s="374"/>
      <c r="B132" s="365"/>
      <c r="C132" s="366" t="s">
        <v>292</v>
      </c>
      <c r="D132" s="82" t="s">
        <v>343</v>
      </c>
      <c r="E132" s="406" t="s">
        <v>31</v>
      </c>
      <c r="F132" s="407" t="s">
        <v>31</v>
      </c>
      <c r="G132" s="407" t="s">
        <v>31</v>
      </c>
      <c r="H132" s="408" t="s">
        <v>31</v>
      </c>
      <c r="I132" s="341" t="str">
        <f aca="true" t="shared" si="35" ref="I132:AL132">IF(I18&gt;=I20,"OK","BŁĄD")</f>
        <v>OK</v>
      </c>
      <c r="J132" s="334" t="str">
        <f t="shared" si="35"/>
        <v>OK</v>
      </c>
      <c r="K132" s="334" t="str">
        <f t="shared" si="35"/>
        <v>OK</v>
      </c>
      <c r="L132" s="334" t="str">
        <f t="shared" si="35"/>
        <v>OK</v>
      </c>
      <c r="M132" s="334" t="str">
        <f t="shared" si="35"/>
        <v>OK</v>
      </c>
      <c r="N132" s="334" t="str">
        <f t="shared" si="35"/>
        <v>OK</v>
      </c>
      <c r="O132" s="334" t="str">
        <f t="shared" si="35"/>
        <v>OK</v>
      </c>
      <c r="P132" s="334" t="str">
        <f t="shared" si="35"/>
        <v>OK</v>
      </c>
      <c r="Q132" s="334" t="str">
        <f t="shared" si="35"/>
        <v>OK</v>
      </c>
      <c r="R132" s="334" t="str">
        <f t="shared" si="35"/>
        <v>OK</v>
      </c>
      <c r="S132" s="334" t="str">
        <f t="shared" si="35"/>
        <v>OK</v>
      </c>
      <c r="T132" s="334" t="str">
        <f t="shared" si="35"/>
        <v>OK</v>
      </c>
      <c r="U132" s="334" t="e">
        <f t="shared" si="35"/>
        <v>#REF!</v>
      </c>
      <c r="V132" s="334" t="e">
        <f t="shared" si="35"/>
        <v>#REF!</v>
      </c>
      <c r="W132" s="334" t="e">
        <f t="shared" si="35"/>
        <v>#REF!</v>
      </c>
      <c r="X132" s="334" t="e">
        <f t="shared" si="35"/>
        <v>#REF!</v>
      </c>
      <c r="Y132" s="334" t="e">
        <f t="shared" si="35"/>
        <v>#REF!</v>
      </c>
      <c r="Z132" s="334" t="e">
        <f t="shared" si="35"/>
        <v>#REF!</v>
      </c>
      <c r="AA132" s="334" t="e">
        <f t="shared" si="35"/>
        <v>#REF!</v>
      </c>
      <c r="AB132" s="334" t="e">
        <f t="shared" si="35"/>
        <v>#REF!</v>
      </c>
      <c r="AC132" s="334" t="e">
        <f t="shared" si="35"/>
        <v>#REF!</v>
      </c>
      <c r="AD132" s="334" t="e">
        <f t="shared" si="35"/>
        <v>#REF!</v>
      </c>
      <c r="AE132" s="334" t="e">
        <f t="shared" si="35"/>
        <v>#REF!</v>
      </c>
      <c r="AF132" s="334" t="e">
        <f t="shared" si="35"/>
        <v>#REF!</v>
      </c>
      <c r="AG132" s="334" t="e">
        <f t="shared" si="35"/>
        <v>#REF!</v>
      </c>
      <c r="AH132" s="334" t="e">
        <f t="shared" si="35"/>
        <v>#REF!</v>
      </c>
      <c r="AI132" s="334" t="e">
        <f t="shared" si="35"/>
        <v>#REF!</v>
      </c>
      <c r="AJ132" s="334" t="e">
        <f t="shared" si="35"/>
        <v>#REF!</v>
      </c>
      <c r="AK132" s="334" t="e">
        <f t="shared" si="35"/>
        <v>#REF!</v>
      </c>
      <c r="AL132" s="335" t="e">
        <f t="shared" si="35"/>
        <v>#REF!</v>
      </c>
    </row>
    <row r="133" spans="1:38" s="78" customFormat="1" ht="14.25" outlineLevel="2">
      <c r="A133" s="374"/>
      <c r="B133" s="365"/>
      <c r="C133" s="366" t="s">
        <v>293</v>
      </c>
      <c r="D133" s="82" t="s">
        <v>344</v>
      </c>
      <c r="E133" s="406" t="s">
        <v>31</v>
      </c>
      <c r="F133" s="407" t="s">
        <v>31</v>
      </c>
      <c r="G133" s="407" t="s">
        <v>31</v>
      </c>
      <c r="H133" s="408" t="s">
        <v>31</v>
      </c>
      <c r="I133" s="341" t="str">
        <f aca="true" t="shared" si="36" ref="I133:AL133">IF(I18&gt;=I80,"OK","BŁĄD")</f>
        <v>OK</v>
      </c>
      <c r="J133" s="334" t="str">
        <f t="shared" si="36"/>
        <v>OK</v>
      </c>
      <c r="K133" s="334" t="str">
        <f t="shared" si="36"/>
        <v>OK</v>
      </c>
      <c r="L133" s="334" t="str">
        <f t="shared" si="36"/>
        <v>OK</v>
      </c>
      <c r="M133" s="334" t="str">
        <f t="shared" si="36"/>
        <v>OK</v>
      </c>
      <c r="N133" s="334" t="str">
        <f t="shared" si="36"/>
        <v>OK</v>
      </c>
      <c r="O133" s="334" t="str">
        <f t="shared" si="36"/>
        <v>OK</v>
      </c>
      <c r="P133" s="334" t="str">
        <f t="shared" si="36"/>
        <v>OK</v>
      </c>
      <c r="Q133" s="334" t="str">
        <f t="shared" si="36"/>
        <v>OK</v>
      </c>
      <c r="R133" s="334" t="str">
        <f t="shared" si="36"/>
        <v>OK</v>
      </c>
      <c r="S133" s="334" t="str">
        <f t="shared" si="36"/>
        <v>OK</v>
      </c>
      <c r="T133" s="334" t="str">
        <f t="shared" si="36"/>
        <v>OK</v>
      </c>
      <c r="U133" s="334" t="e">
        <f t="shared" si="36"/>
        <v>#REF!</v>
      </c>
      <c r="V133" s="334" t="e">
        <f t="shared" si="36"/>
        <v>#REF!</v>
      </c>
      <c r="W133" s="334" t="e">
        <f t="shared" si="36"/>
        <v>#REF!</v>
      </c>
      <c r="X133" s="334" t="e">
        <f t="shared" si="36"/>
        <v>#REF!</v>
      </c>
      <c r="Y133" s="334" t="e">
        <f t="shared" si="36"/>
        <v>#REF!</v>
      </c>
      <c r="Z133" s="334" t="e">
        <f t="shared" si="36"/>
        <v>#REF!</v>
      </c>
      <c r="AA133" s="334" t="e">
        <f t="shared" si="36"/>
        <v>#REF!</v>
      </c>
      <c r="AB133" s="334" t="e">
        <f t="shared" si="36"/>
        <v>#REF!</v>
      </c>
      <c r="AC133" s="334" t="e">
        <f t="shared" si="36"/>
        <v>#REF!</v>
      </c>
      <c r="AD133" s="334" t="e">
        <f t="shared" si="36"/>
        <v>#REF!</v>
      </c>
      <c r="AE133" s="334" t="e">
        <f t="shared" si="36"/>
        <v>#REF!</v>
      </c>
      <c r="AF133" s="334" t="e">
        <f t="shared" si="36"/>
        <v>#REF!</v>
      </c>
      <c r="AG133" s="334" t="e">
        <f t="shared" si="36"/>
        <v>#REF!</v>
      </c>
      <c r="AH133" s="334" t="e">
        <f t="shared" si="36"/>
        <v>#REF!</v>
      </c>
      <c r="AI133" s="334" t="e">
        <f t="shared" si="36"/>
        <v>#REF!</v>
      </c>
      <c r="AJ133" s="334" t="e">
        <f t="shared" si="36"/>
        <v>#REF!</v>
      </c>
      <c r="AK133" s="334" t="e">
        <f t="shared" si="36"/>
        <v>#REF!</v>
      </c>
      <c r="AL133" s="335" t="e">
        <f t="shared" si="36"/>
        <v>#REF!</v>
      </c>
    </row>
    <row r="134" spans="1:38" s="78" customFormat="1" ht="14.25" outlineLevel="2">
      <c r="A134" s="374"/>
      <c r="B134" s="365"/>
      <c r="C134" s="366" t="s">
        <v>294</v>
      </c>
      <c r="D134" s="82" t="s">
        <v>345</v>
      </c>
      <c r="E134" s="406" t="s">
        <v>31</v>
      </c>
      <c r="F134" s="407" t="s">
        <v>31</v>
      </c>
      <c r="G134" s="407" t="s">
        <v>31</v>
      </c>
      <c r="H134" s="408" t="s">
        <v>31</v>
      </c>
      <c r="I134" s="341" t="str">
        <f aca="true" t="shared" si="37" ref="I134:AL134">IF(I65&gt;=I66,"OK","BŁĄD")</f>
        <v>OK</v>
      </c>
      <c r="J134" s="334" t="str">
        <f t="shared" si="37"/>
        <v>OK</v>
      </c>
      <c r="K134" s="334" t="str">
        <f t="shared" si="37"/>
        <v>OK</v>
      </c>
      <c r="L134" s="334" t="str">
        <f t="shared" si="37"/>
        <v>OK</v>
      </c>
      <c r="M134" s="334" t="str">
        <f t="shared" si="37"/>
        <v>OK</v>
      </c>
      <c r="N134" s="334" t="str">
        <f t="shared" si="37"/>
        <v>OK</v>
      </c>
      <c r="O134" s="334" t="str">
        <f t="shared" si="37"/>
        <v>OK</v>
      </c>
      <c r="P134" s="334" t="str">
        <f t="shared" si="37"/>
        <v>OK</v>
      </c>
      <c r="Q134" s="334" t="str">
        <f t="shared" si="37"/>
        <v>OK</v>
      </c>
      <c r="R134" s="334" t="str">
        <f t="shared" si="37"/>
        <v>OK</v>
      </c>
      <c r="S134" s="334" t="str">
        <f t="shared" si="37"/>
        <v>OK</v>
      </c>
      <c r="T134" s="334" t="str">
        <f t="shared" si="37"/>
        <v>OK</v>
      </c>
      <c r="U134" s="334" t="e">
        <f t="shared" si="37"/>
        <v>#REF!</v>
      </c>
      <c r="V134" s="334" t="e">
        <f t="shared" si="37"/>
        <v>#REF!</v>
      </c>
      <c r="W134" s="334" t="e">
        <f t="shared" si="37"/>
        <v>#REF!</v>
      </c>
      <c r="X134" s="334" t="e">
        <f t="shared" si="37"/>
        <v>#REF!</v>
      </c>
      <c r="Y134" s="334" t="e">
        <f t="shared" si="37"/>
        <v>#REF!</v>
      </c>
      <c r="Z134" s="334" t="e">
        <f t="shared" si="37"/>
        <v>#REF!</v>
      </c>
      <c r="AA134" s="334" t="e">
        <f t="shared" si="37"/>
        <v>#REF!</v>
      </c>
      <c r="AB134" s="334" t="e">
        <f t="shared" si="37"/>
        <v>#REF!</v>
      </c>
      <c r="AC134" s="334" t="e">
        <f t="shared" si="37"/>
        <v>#REF!</v>
      </c>
      <c r="AD134" s="334" t="e">
        <f t="shared" si="37"/>
        <v>#REF!</v>
      </c>
      <c r="AE134" s="334" t="e">
        <f t="shared" si="37"/>
        <v>#REF!</v>
      </c>
      <c r="AF134" s="334" t="e">
        <f t="shared" si="37"/>
        <v>#REF!</v>
      </c>
      <c r="AG134" s="334" t="e">
        <f t="shared" si="37"/>
        <v>#REF!</v>
      </c>
      <c r="AH134" s="334" t="e">
        <f t="shared" si="37"/>
        <v>#REF!</v>
      </c>
      <c r="AI134" s="334" t="e">
        <f t="shared" si="37"/>
        <v>#REF!</v>
      </c>
      <c r="AJ134" s="334" t="e">
        <f t="shared" si="37"/>
        <v>#REF!</v>
      </c>
      <c r="AK134" s="334" t="e">
        <f t="shared" si="37"/>
        <v>#REF!</v>
      </c>
      <c r="AL134" s="335" t="e">
        <f t="shared" si="37"/>
        <v>#REF!</v>
      </c>
    </row>
    <row r="135" spans="1:38" s="78" customFormat="1" ht="14.25" outlineLevel="2">
      <c r="A135" s="374"/>
      <c r="B135" s="365"/>
      <c r="C135" s="366" t="s">
        <v>296</v>
      </c>
      <c r="D135" s="82" t="s">
        <v>347</v>
      </c>
      <c r="E135" s="406" t="s">
        <v>31</v>
      </c>
      <c r="F135" s="407" t="s">
        <v>31</v>
      </c>
      <c r="G135" s="407" t="s">
        <v>31</v>
      </c>
      <c r="H135" s="408" t="s">
        <v>31</v>
      </c>
      <c r="I135" s="341" t="str">
        <f aca="true" t="shared" si="38" ref="I135:AL136">IF(I77&gt;=I78,"OK","BŁĄD")</f>
        <v>OK</v>
      </c>
      <c r="J135" s="334" t="str">
        <f t="shared" si="38"/>
        <v>OK</v>
      </c>
      <c r="K135" s="334" t="str">
        <f t="shared" si="38"/>
        <v>OK</v>
      </c>
      <c r="L135" s="334" t="str">
        <f t="shared" si="38"/>
        <v>OK</v>
      </c>
      <c r="M135" s="334" t="str">
        <f t="shared" si="38"/>
        <v>OK</v>
      </c>
      <c r="N135" s="334" t="str">
        <f t="shared" si="38"/>
        <v>OK</v>
      </c>
      <c r="O135" s="334" t="str">
        <f t="shared" si="38"/>
        <v>OK</v>
      </c>
      <c r="P135" s="334" t="str">
        <f t="shared" si="38"/>
        <v>OK</v>
      </c>
      <c r="Q135" s="334" t="str">
        <f t="shared" si="38"/>
        <v>OK</v>
      </c>
      <c r="R135" s="334" t="str">
        <f t="shared" si="38"/>
        <v>OK</v>
      </c>
      <c r="S135" s="334" t="str">
        <f t="shared" si="38"/>
        <v>OK</v>
      </c>
      <c r="T135" s="334" t="str">
        <f t="shared" si="38"/>
        <v>OK</v>
      </c>
      <c r="U135" s="334" t="e">
        <f t="shared" si="38"/>
        <v>#REF!</v>
      </c>
      <c r="V135" s="334" t="e">
        <f t="shared" si="38"/>
        <v>#REF!</v>
      </c>
      <c r="W135" s="334" t="e">
        <f t="shared" si="38"/>
        <v>#REF!</v>
      </c>
      <c r="X135" s="334" t="e">
        <f t="shared" si="38"/>
        <v>#REF!</v>
      </c>
      <c r="Y135" s="334" t="e">
        <f t="shared" si="38"/>
        <v>#REF!</v>
      </c>
      <c r="Z135" s="334" t="e">
        <f t="shared" si="38"/>
        <v>#REF!</v>
      </c>
      <c r="AA135" s="334" t="e">
        <f t="shared" si="38"/>
        <v>#REF!</v>
      </c>
      <c r="AB135" s="334" t="e">
        <f t="shared" si="38"/>
        <v>#REF!</v>
      </c>
      <c r="AC135" s="334" t="e">
        <f t="shared" si="38"/>
        <v>#REF!</v>
      </c>
      <c r="AD135" s="334" t="e">
        <f t="shared" si="38"/>
        <v>#REF!</v>
      </c>
      <c r="AE135" s="334" t="e">
        <f t="shared" si="38"/>
        <v>#REF!</v>
      </c>
      <c r="AF135" s="334" t="e">
        <f t="shared" si="38"/>
        <v>#REF!</v>
      </c>
      <c r="AG135" s="334" t="e">
        <f t="shared" si="38"/>
        <v>#REF!</v>
      </c>
      <c r="AH135" s="334" t="e">
        <f t="shared" si="38"/>
        <v>#REF!</v>
      </c>
      <c r="AI135" s="334" t="e">
        <f t="shared" si="38"/>
        <v>#REF!</v>
      </c>
      <c r="AJ135" s="334" t="e">
        <f t="shared" si="38"/>
        <v>#REF!</v>
      </c>
      <c r="AK135" s="334" t="e">
        <f t="shared" si="38"/>
        <v>#REF!</v>
      </c>
      <c r="AL135" s="335" t="e">
        <f t="shared" si="38"/>
        <v>#REF!</v>
      </c>
    </row>
    <row r="136" spans="1:38" s="78" customFormat="1" ht="14.25" outlineLevel="2">
      <c r="A136" s="374"/>
      <c r="B136" s="365"/>
      <c r="C136" s="366" t="s">
        <v>295</v>
      </c>
      <c r="D136" s="82" t="s">
        <v>346</v>
      </c>
      <c r="E136" s="406" t="s">
        <v>31</v>
      </c>
      <c r="F136" s="407" t="s">
        <v>31</v>
      </c>
      <c r="G136" s="407" t="s">
        <v>31</v>
      </c>
      <c r="H136" s="408" t="s">
        <v>31</v>
      </c>
      <c r="I136" s="341" t="str">
        <f t="shared" si="38"/>
        <v>OK</v>
      </c>
      <c r="J136" s="334" t="str">
        <f t="shared" si="38"/>
        <v>OK</v>
      </c>
      <c r="K136" s="334" t="str">
        <f t="shared" si="38"/>
        <v>OK</v>
      </c>
      <c r="L136" s="334" t="str">
        <f t="shared" si="38"/>
        <v>OK</v>
      </c>
      <c r="M136" s="334" t="str">
        <f t="shared" si="38"/>
        <v>OK</v>
      </c>
      <c r="N136" s="334" t="str">
        <f t="shared" si="38"/>
        <v>OK</v>
      </c>
      <c r="O136" s="334" t="str">
        <f t="shared" si="38"/>
        <v>OK</v>
      </c>
      <c r="P136" s="334" t="str">
        <f t="shared" si="38"/>
        <v>OK</v>
      </c>
      <c r="Q136" s="334" t="str">
        <f t="shared" si="38"/>
        <v>OK</v>
      </c>
      <c r="R136" s="334" t="str">
        <f t="shared" si="38"/>
        <v>OK</v>
      </c>
      <c r="S136" s="334" t="str">
        <f t="shared" si="38"/>
        <v>OK</v>
      </c>
      <c r="T136" s="334" t="str">
        <f t="shared" si="38"/>
        <v>OK</v>
      </c>
      <c r="U136" s="334" t="e">
        <f t="shared" si="38"/>
        <v>#REF!</v>
      </c>
      <c r="V136" s="334" t="e">
        <f t="shared" si="38"/>
        <v>#REF!</v>
      </c>
      <c r="W136" s="334" t="e">
        <f t="shared" si="38"/>
        <v>#REF!</v>
      </c>
      <c r="X136" s="334" t="e">
        <f t="shared" si="38"/>
        <v>#REF!</v>
      </c>
      <c r="Y136" s="334" t="e">
        <f t="shared" si="38"/>
        <v>#REF!</v>
      </c>
      <c r="Z136" s="334" t="e">
        <f t="shared" si="38"/>
        <v>#REF!</v>
      </c>
      <c r="AA136" s="334" t="e">
        <f t="shared" si="38"/>
        <v>#REF!</v>
      </c>
      <c r="AB136" s="334" t="e">
        <f t="shared" si="38"/>
        <v>#REF!</v>
      </c>
      <c r="AC136" s="334" t="e">
        <f t="shared" si="38"/>
        <v>#REF!</v>
      </c>
      <c r="AD136" s="334" t="e">
        <f t="shared" si="38"/>
        <v>#REF!</v>
      </c>
      <c r="AE136" s="334" t="e">
        <f t="shared" si="38"/>
        <v>#REF!</v>
      </c>
      <c r="AF136" s="334" t="e">
        <f t="shared" si="38"/>
        <v>#REF!</v>
      </c>
      <c r="AG136" s="334" t="e">
        <f t="shared" si="38"/>
        <v>#REF!</v>
      </c>
      <c r="AH136" s="334" t="e">
        <f t="shared" si="38"/>
        <v>#REF!</v>
      </c>
      <c r="AI136" s="334" t="e">
        <f t="shared" si="38"/>
        <v>#REF!</v>
      </c>
      <c r="AJ136" s="334" t="e">
        <f t="shared" si="38"/>
        <v>#REF!</v>
      </c>
      <c r="AK136" s="334" t="e">
        <f t="shared" si="38"/>
        <v>#REF!</v>
      </c>
      <c r="AL136" s="335" t="e">
        <f t="shared" si="38"/>
        <v>#REF!</v>
      </c>
    </row>
    <row r="137" spans="1:38" s="78" customFormat="1" ht="14.25" outlineLevel="2">
      <c r="A137" s="374"/>
      <c r="B137" s="365"/>
      <c r="C137" s="366" t="s">
        <v>298</v>
      </c>
      <c r="D137" s="82" t="s">
        <v>349</v>
      </c>
      <c r="E137" s="406" t="s">
        <v>31</v>
      </c>
      <c r="F137" s="407" t="s">
        <v>31</v>
      </c>
      <c r="G137" s="407" t="s">
        <v>31</v>
      </c>
      <c r="H137" s="408" t="s">
        <v>31</v>
      </c>
      <c r="I137" s="341" t="str">
        <f aca="true" t="shared" si="39" ref="I137:AL138">IF(I80&gt;=I81,"OK","BŁĄD")</f>
        <v>OK</v>
      </c>
      <c r="J137" s="334" t="str">
        <f t="shared" si="39"/>
        <v>OK</v>
      </c>
      <c r="K137" s="334" t="str">
        <f t="shared" si="39"/>
        <v>OK</v>
      </c>
      <c r="L137" s="334" t="str">
        <f t="shared" si="39"/>
        <v>OK</v>
      </c>
      <c r="M137" s="334" t="str">
        <f t="shared" si="39"/>
        <v>OK</v>
      </c>
      <c r="N137" s="334" t="str">
        <f t="shared" si="39"/>
        <v>OK</v>
      </c>
      <c r="O137" s="334" t="str">
        <f t="shared" si="39"/>
        <v>OK</v>
      </c>
      <c r="P137" s="334" t="str">
        <f t="shared" si="39"/>
        <v>OK</v>
      </c>
      <c r="Q137" s="334" t="str">
        <f t="shared" si="39"/>
        <v>OK</v>
      </c>
      <c r="R137" s="334" t="str">
        <f t="shared" si="39"/>
        <v>OK</v>
      </c>
      <c r="S137" s="334" t="str">
        <f t="shared" si="39"/>
        <v>OK</v>
      </c>
      <c r="T137" s="334" t="str">
        <f t="shared" si="39"/>
        <v>OK</v>
      </c>
      <c r="U137" s="334" t="e">
        <f t="shared" si="39"/>
        <v>#REF!</v>
      </c>
      <c r="V137" s="334" t="e">
        <f t="shared" si="39"/>
        <v>#REF!</v>
      </c>
      <c r="W137" s="334" t="e">
        <f t="shared" si="39"/>
        <v>#REF!</v>
      </c>
      <c r="X137" s="334" t="e">
        <f t="shared" si="39"/>
        <v>#REF!</v>
      </c>
      <c r="Y137" s="334" t="e">
        <f t="shared" si="39"/>
        <v>#REF!</v>
      </c>
      <c r="Z137" s="334" t="e">
        <f t="shared" si="39"/>
        <v>#REF!</v>
      </c>
      <c r="AA137" s="334" t="e">
        <f t="shared" si="39"/>
        <v>#REF!</v>
      </c>
      <c r="AB137" s="334" t="e">
        <f t="shared" si="39"/>
        <v>#REF!</v>
      </c>
      <c r="AC137" s="334" t="e">
        <f t="shared" si="39"/>
        <v>#REF!</v>
      </c>
      <c r="AD137" s="334" t="e">
        <f t="shared" si="39"/>
        <v>#REF!</v>
      </c>
      <c r="AE137" s="334" t="e">
        <f t="shared" si="39"/>
        <v>#REF!</v>
      </c>
      <c r="AF137" s="334" t="e">
        <f t="shared" si="39"/>
        <v>#REF!</v>
      </c>
      <c r="AG137" s="334" t="e">
        <f t="shared" si="39"/>
        <v>#REF!</v>
      </c>
      <c r="AH137" s="334" t="e">
        <f t="shared" si="39"/>
        <v>#REF!</v>
      </c>
      <c r="AI137" s="334" t="e">
        <f t="shared" si="39"/>
        <v>#REF!</v>
      </c>
      <c r="AJ137" s="334" t="e">
        <f t="shared" si="39"/>
        <v>#REF!</v>
      </c>
      <c r="AK137" s="334" t="e">
        <f t="shared" si="39"/>
        <v>#REF!</v>
      </c>
      <c r="AL137" s="335" t="e">
        <f t="shared" si="39"/>
        <v>#REF!</v>
      </c>
    </row>
    <row r="138" spans="1:38" s="78" customFormat="1" ht="14.25" outlineLevel="2">
      <c r="A138" s="374"/>
      <c r="B138" s="365"/>
      <c r="C138" s="366" t="s">
        <v>297</v>
      </c>
      <c r="D138" s="82" t="s">
        <v>348</v>
      </c>
      <c r="E138" s="406" t="s">
        <v>31</v>
      </c>
      <c r="F138" s="407" t="s">
        <v>31</v>
      </c>
      <c r="G138" s="407" t="s">
        <v>31</v>
      </c>
      <c r="H138" s="408" t="s">
        <v>31</v>
      </c>
      <c r="I138" s="341" t="str">
        <f t="shared" si="39"/>
        <v>OK</v>
      </c>
      <c r="J138" s="334" t="str">
        <f t="shared" si="39"/>
        <v>OK</v>
      </c>
      <c r="K138" s="334" t="str">
        <f t="shared" si="39"/>
        <v>OK</v>
      </c>
      <c r="L138" s="334" t="str">
        <f t="shared" si="39"/>
        <v>OK</v>
      </c>
      <c r="M138" s="334" t="str">
        <f t="shared" si="39"/>
        <v>OK</v>
      </c>
      <c r="N138" s="334" t="str">
        <f t="shared" si="39"/>
        <v>OK</v>
      </c>
      <c r="O138" s="334" t="str">
        <f t="shared" si="39"/>
        <v>OK</v>
      </c>
      <c r="P138" s="334" t="str">
        <f t="shared" si="39"/>
        <v>OK</v>
      </c>
      <c r="Q138" s="334" t="str">
        <f t="shared" si="39"/>
        <v>OK</v>
      </c>
      <c r="R138" s="334" t="str">
        <f t="shared" si="39"/>
        <v>OK</v>
      </c>
      <c r="S138" s="334" t="str">
        <f t="shared" si="39"/>
        <v>OK</v>
      </c>
      <c r="T138" s="334" t="str">
        <f t="shared" si="39"/>
        <v>OK</v>
      </c>
      <c r="U138" s="334" t="e">
        <f t="shared" si="39"/>
        <v>#REF!</v>
      </c>
      <c r="V138" s="334" t="e">
        <f t="shared" si="39"/>
        <v>#REF!</v>
      </c>
      <c r="W138" s="334" t="e">
        <f t="shared" si="39"/>
        <v>#REF!</v>
      </c>
      <c r="X138" s="334" t="e">
        <f t="shared" si="39"/>
        <v>#REF!</v>
      </c>
      <c r="Y138" s="334" t="e">
        <f t="shared" si="39"/>
        <v>#REF!</v>
      </c>
      <c r="Z138" s="334" t="e">
        <f t="shared" si="39"/>
        <v>#REF!</v>
      </c>
      <c r="AA138" s="334" t="e">
        <f t="shared" si="39"/>
        <v>#REF!</v>
      </c>
      <c r="AB138" s="334" t="e">
        <f t="shared" si="39"/>
        <v>#REF!</v>
      </c>
      <c r="AC138" s="334" t="e">
        <f t="shared" si="39"/>
        <v>#REF!</v>
      </c>
      <c r="AD138" s="334" t="e">
        <f t="shared" si="39"/>
        <v>#REF!</v>
      </c>
      <c r="AE138" s="334" t="e">
        <f t="shared" si="39"/>
        <v>#REF!</v>
      </c>
      <c r="AF138" s="334" t="e">
        <f t="shared" si="39"/>
        <v>#REF!</v>
      </c>
      <c r="AG138" s="334" t="e">
        <f t="shared" si="39"/>
        <v>#REF!</v>
      </c>
      <c r="AH138" s="334" t="e">
        <f t="shared" si="39"/>
        <v>#REF!</v>
      </c>
      <c r="AI138" s="334" t="e">
        <f t="shared" si="39"/>
        <v>#REF!</v>
      </c>
      <c r="AJ138" s="334" t="e">
        <f t="shared" si="39"/>
        <v>#REF!</v>
      </c>
      <c r="AK138" s="334" t="e">
        <f t="shared" si="39"/>
        <v>#REF!</v>
      </c>
      <c r="AL138" s="335" t="e">
        <f t="shared" si="39"/>
        <v>#REF!</v>
      </c>
    </row>
    <row r="139" spans="1:38" s="78" customFormat="1" ht="14.25" outlineLevel="2">
      <c r="A139" s="374"/>
      <c r="B139" s="365"/>
      <c r="C139" s="366" t="s">
        <v>299</v>
      </c>
      <c r="D139" s="82" t="s">
        <v>350</v>
      </c>
      <c r="E139" s="406" t="s">
        <v>31</v>
      </c>
      <c r="F139" s="407" t="s">
        <v>31</v>
      </c>
      <c r="G139" s="407" t="s">
        <v>31</v>
      </c>
      <c r="H139" s="408" t="s">
        <v>31</v>
      </c>
      <c r="I139" s="341" t="str">
        <f aca="true" t="shared" si="40" ref="I139:AL139">IF(I83&gt;=I84,"OK","BŁĄD")</f>
        <v>OK</v>
      </c>
      <c r="J139" s="334" t="str">
        <f t="shared" si="40"/>
        <v>OK</v>
      </c>
      <c r="K139" s="334" t="str">
        <f t="shared" si="40"/>
        <v>OK</v>
      </c>
      <c r="L139" s="334" t="str">
        <f t="shared" si="40"/>
        <v>OK</v>
      </c>
      <c r="M139" s="334" t="str">
        <f t="shared" si="40"/>
        <v>OK</v>
      </c>
      <c r="N139" s="334" t="str">
        <f t="shared" si="40"/>
        <v>OK</v>
      </c>
      <c r="O139" s="334" t="str">
        <f t="shared" si="40"/>
        <v>OK</v>
      </c>
      <c r="P139" s="334" t="str">
        <f t="shared" si="40"/>
        <v>OK</v>
      </c>
      <c r="Q139" s="334" t="str">
        <f t="shared" si="40"/>
        <v>OK</v>
      </c>
      <c r="R139" s="334" t="str">
        <f t="shared" si="40"/>
        <v>OK</v>
      </c>
      <c r="S139" s="334" t="str">
        <f t="shared" si="40"/>
        <v>OK</v>
      </c>
      <c r="T139" s="334" t="str">
        <f t="shared" si="40"/>
        <v>OK</v>
      </c>
      <c r="U139" s="334" t="e">
        <f t="shared" si="40"/>
        <v>#REF!</v>
      </c>
      <c r="V139" s="334" t="e">
        <f t="shared" si="40"/>
        <v>#REF!</v>
      </c>
      <c r="W139" s="334" t="e">
        <f t="shared" si="40"/>
        <v>#REF!</v>
      </c>
      <c r="X139" s="334" t="e">
        <f t="shared" si="40"/>
        <v>#REF!</v>
      </c>
      <c r="Y139" s="334" t="e">
        <f t="shared" si="40"/>
        <v>#REF!</v>
      </c>
      <c r="Z139" s="334" t="e">
        <f t="shared" si="40"/>
        <v>#REF!</v>
      </c>
      <c r="AA139" s="334" t="e">
        <f t="shared" si="40"/>
        <v>#REF!</v>
      </c>
      <c r="AB139" s="334" t="e">
        <f t="shared" si="40"/>
        <v>#REF!</v>
      </c>
      <c r="AC139" s="334" t="e">
        <f t="shared" si="40"/>
        <v>#REF!</v>
      </c>
      <c r="AD139" s="334" t="e">
        <f t="shared" si="40"/>
        <v>#REF!</v>
      </c>
      <c r="AE139" s="334" t="e">
        <f t="shared" si="40"/>
        <v>#REF!</v>
      </c>
      <c r="AF139" s="334" t="e">
        <f t="shared" si="40"/>
        <v>#REF!</v>
      </c>
      <c r="AG139" s="334" t="e">
        <f t="shared" si="40"/>
        <v>#REF!</v>
      </c>
      <c r="AH139" s="334" t="e">
        <f t="shared" si="40"/>
        <v>#REF!</v>
      </c>
      <c r="AI139" s="334" t="e">
        <f t="shared" si="40"/>
        <v>#REF!</v>
      </c>
      <c r="AJ139" s="334" t="e">
        <f t="shared" si="40"/>
        <v>#REF!</v>
      </c>
      <c r="AK139" s="334" t="e">
        <f t="shared" si="40"/>
        <v>#REF!</v>
      </c>
      <c r="AL139" s="335" t="e">
        <f t="shared" si="40"/>
        <v>#REF!</v>
      </c>
    </row>
    <row r="140" spans="1:38" s="78" customFormat="1" ht="14.25" outlineLevel="2">
      <c r="A140" s="374"/>
      <c r="B140" s="365"/>
      <c r="C140" s="366" t="s">
        <v>300</v>
      </c>
      <c r="D140" s="82" t="s">
        <v>351</v>
      </c>
      <c r="E140" s="406" t="s">
        <v>31</v>
      </c>
      <c r="F140" s="407" t="s">
        <v>31</v>
      </c>
      <c r="G140" s="407" t="s">
        <v>31</v>
      </c>
      <c r="H140" s="408" t="s">
        <v>31</v>
      </c>
      <c r="I140" s="341" t="str">
        <f aca="true" t="shared" si="41" ref="I140:AL140">IF(I83&gt;=I85,"OK","BŁĄD")</f>
        <v>OK</v>
      </c>
      <c r="J140" s="334" t="str">
        <f t="shared" si="41"/>
        <v>OK</v>
      </c>
      <c r="K140" s="334" t="str">
        <f t="shared" si="41"/>
        <v>OK</v>
      </c>
      <c r="L140" s="334" t="str">
        <f t="shared" si="41"/>
        <v>OK</v>
      </c>
      <c r="M140" s="334" t="str">
        <f t="shared" si="41"/>
        <v>OK</v>
      </c>
      <c r="N140" s="334" t="str">
        <f t="shared" si="41"/>
        <v>OK</v>
      </c>
      <c r="O140" s="334" t="str">
        <f t="shared" si="41"/>
        <v>OK</v>
      </c>
      <c r="P140" s="334" t="str">
        <f t="shared" si="41"/>
        <v>OK</v>
      </c>
      <c r="Q140" s="334" t="str">
        <f t="shared" si="41"/>
        <v>OK</v>
      </c>
      <c r="R140" s="334" t="str">
        <f t="shared" si="41"/>
        <v>OK</v>
      </c>
      <c r="S140" s="334" t="str">
        <f t="shared" si="41"/>
        <v>OK</v>
      </c>
      <c r="T140" s="334" t="str">
        <f t="shared" si="41"/>
        <v>OK</v>
      </c>
      <c r="U140" s="334" t="e">
        <f t="shared" si="41"/>
        <v>#REF!</v>
      </c>
      <c r="V140" s="334" t="e">
        <f t="shared" si="41"/>
        <v>#REF!</v>
      </c>
      <c r="W140" s="334" t="e">
        <f t="shared" si="41"/>
        <v>#REF!</v>
      </c>
      <c r="X140" s="334" t="e">
        <f t="shared" si="41"/>
        <v>#REF!</v>
      </c>
      <c r="Y140" s="334" t="e">
        <f t="shared" si="41"/>
        <v>#REF!</v>
      </c>
      <c r="Z140" s="334" t="e">
        <f t="shared" si="41"/>
        <v>#REF!</v>
      </c>
      <c r="AA140" s="334" t="e">
        <f t="shared" si="41"/>
        <v>#REF!</v>
      </c>
      <c r="AB140" s="334" t="e">
        <f t="shared" si="41"/>
        <v>#REF!</v>
      </c>
      <c r="AC140" s="334" t="e">
        <f t="shared" si="41"/>
        <v>#REF!</v>
      </c>
      <c r="AD140" s="334" t="e">
        <f t="shared" si="41"/>
        <v>#REF!</v>
      </c>
      <c r="AE140" s="334" t="e">
        <f t="shared" si="41"/>
        <v>#REF!</v>
      </c>
      <c r="AF140" s="334" t="e">
        <f t="shared" si="41"/>
        <v>#REF!</v>
      </c>
      <c r="AG140" s="334" t="e">
        <f t="shared" si="41"/>
        <v>#REF!</v>
      </c>
      <c r="AH140" s="334" t="e">
        <f t="shared" si="41"/>
        <v>#REF!</v>
      </c>
      <c r="AI140" s="334" t="e">
        <f t="shared" si="41"/>
        <v>#REF!</v>
      </c>
      <c r="AJ140" s="334" t="e">
        <f t="shared" si="41"/>
        <v>#REF!</v>
      </c>
      <c r="AK140" s="334" t="e">
        <f t="shared" si="41"/>
        <v>#REF!</v>
      </c>
      <c r="AL140" s="335" t="e">
        <f t="shared" si="41"/>
        <v>#REF!</v>
      </c>
    </row>
    <row r="141" spans="1:38" s="78" customFormat="1" ht="14.25" outlineLevel="2">
      <c r="A141" s="374"/>
      <c r="B141" s="365"/>
      <c r="C141" s="366" t="s">
        <v>301</v>
      </c>
      <c r="D141" s="82" t="s">
        <v>352</v>
      </c>
      <c r="E141" s="406" t="s">
        <v>31</v>
      </c>
      <c r="F141" s="407" t="s">
        <v>31</v>
      </c>
      <c r="G141" s="407" t="s">
        <v>31</v>
      </c>
      <c r="H141" s="408" t="s">
        <v>31</v>
      </c>
      <c r="I141" s="341" t="str">
        <f aca="true" t="shared" si="42" ref="I141:AL141">IF(I86&gt;=I87,"OK","BŁĄD")</f>
        <v>OK</v>
      </c>
      <c r="J141" s="334" t="str">
        <f t="shared" si="42"/>
        <v>OK</v>
      </c>
      <c r="K141" s="334" t="str">
        <f t="shared" si="42"/>
        <v>OK</v>
      </c>
      <c r="L141" s="334" t="str">
        <f t="shared" si="42"/>
        <v>OK</v>
      </c>
      <c r="M141" s="334" t="str">
        <f t="shared" si="42"/>
        <v>OK</v>
      </c>
      <c r="N141" s="334" t="str">
        <f t="shared" si="42"/>
        <v>OK</v>
      </c>
      <c r="O141" s="334" t="str">
        <f t="shared" si="42"/>
        <v>OK</v>
      </c>
      <c r="P141" s="334" t="str">
        <f t="shared" si="42"/>
        <v>OK</v>
      </c>
      <c r="Q141" s="334" t="str">
        <f t="shared" si="42"/>
        <v>OK</v>
      </c>
      <c r="R141" s="334" t="str">
        <f t="shared" si="42"/>
        <v>OK</v>
      </c>
      <c r="S141" s="334" t="str">
        <f t="shared" si="42"/>
        <v>OK</v>
      </c>
      <c r="T141" s="334" t="str">
        <f t="shared" si="42"/>
        <v>OK</v>
      </c>
      <c r="U141" s="334" t="e">
        <f t="shared" si="42"/>
        <v>#REF!</v>
      </c>
      <c r="V141" s="334" t="e">
        <f t="shared" si="42"/>
        <v>#REF!</v>
      </c>
      <c r="W141" s="334" t="e">
        <f t="shared" si="42"/>
        <v>#REF!</v>
      </c>
      <c r="X141" s="334" t="e">
        <f t="shared" si="42"/>
        <v>#REF!</v>
      </c>
      <c r="Y141" s="334" t="e">
        <f t="shared" si="42"/>
        <v>#REF!</v>
      </c>
      <c r="Z141" s="334" t="e">
        <f t="shared" si="42"/>
        <v>#REF!</v>
      </c>
      <c r="AA141" s="334" t="e">
        <f t="shared" si="42"/>
        <v>#REF!</v>
      </c>
      <c r="AB141" s="334" t="e">
        <f t="shared" si="42"/>
        <v>#REF!</v>
      </c>
      <c r="AC141" s="334" t="e">
        <f t="shared" si="42"/>
        <v>#REF!</v>
      </c>
      <c r="AD141" s="334" t="e">
        <f t="shared" si="42"/>
        <v>#REF!</v>
      </c>
      <c r="AE141" s="334" t="e">
        <f t="shared" si="42"/>
        <v>#REF!</v>
      </c>
      <c r="AF141" s="334" t="e">
        <f t="shared" si="42"/>
        <v>#REF!</v>
      </c>
      <c r="AG141" s="334" t="e">
        <f t="shared" si="42"/>
        <v>#REF!</v>
      </c>
      <c r="AH141" s="334" t="e">
        <f t="shared" si="42"/>
        <v>#REF!</v>
      </c>
      <c r="AI141" s="334" t="e">
        <f t="shared" si="42"/>
        <v>#REF!</v>
      </c>
      <c r="AJ141" s="334" t="e">
        <f t="shared" si="42"/>
        <v>#REF!</v>
      </c>
      <c r="AK141" s="334" t="e">
        <f t="shared" si="42"/>
        <v>#REF!</v>
      </c>
      <c r="AL141" s="335" t="e">
        <f t="shared" si="42"/>
        <v>#REF!</v>
      </c>
    </row>
    <row r="142" spans="1:38" s="78" customFormat="1" ht="14.25" outlineLevel="2">
      <c r="A142" s="374"/>
      <c r="B142" s="365"/>
      <c r="C142" s="366" t="s">
        <v>302</v>
      </c>
      <c r="D142" s="82" t="s">
        <v>353</v>
      </c>
      <c r="E142" s="406" t="s">
        <v>31</v>
      </c>
      <c r="F142" s="407" t="s">
        <v>31</v>
      </c>
      <c r="G142" s="407" t="s">
        <v>31</v>
      </c>
      <c r="H142" s="408" t="s">
        <v>31</v>
      </c>
      <c r="I142" s="341" t="str">
        <f aca="true" t="shared" si="43" ref="I142:AL142">IF(I86&gt;=I88,"OK","BŁĄD")</f>
        <v>OK</v>
      </c>
      <c r="J142" s="334" t="str">
        <f t="shared" si="43"/>
        <v>OK</v>
      </c>
      <c r="K142" s="334" t="str">
        <f t="shared" si="43"/>
        <v>OK</v>
      </c>
      <c r="L142" s="334" t="str">
        <f t="shared" si="43"/>
        <v>OK</v>
      </c>
      <c r="M142" s="334" t="str">
        <f t="shared" si="43"/>
        <v>OK</v>
      </c>
      <c r="N142" s="334" t="str">
        <f t="shared" si="43"/>
        <v>OK</v>
      </c>
      <c r="O142" s="334" t="str">
        <f t="shared" si="43"/>
        <v>OK</v>
      </c>
      <c r="P142" s="334" t="str">
        <f t="shared" si="43"/>
        <v>OK</v>
      </c>
      <c r="Q142" s="334" t="str">
        <f t="shared" si="43"/>
        <v>OK</v>
      </c>
      <c r="R142" s="334" t="str">
        <f t="shared" si="43"/>
        <v>OK</v>
      </c>
      <c r="S142" s="334" t="str">
        <f t="shared" si="43"/>
        <v>OK</v>
      </c>
      <c r="T142" s="334" t="str">
        <f t="shared" si="43"/>
        <v>OK</v>
      </c>
      <c r="U142" s="334" t="e">
        <f t="shared" si="43"/>
        <v>#REF!</v>
      </c>
      <c r="V142" s="334" t="e">
        <f t="shared" si="43"/>
        <v>#REF!</v>
      </c>
      <c r="W142" s="334" t="e">
        <f t="shared" si="43"/>
        <v>#REF!</v>
      </c>
      <c r="X142" s="334" t="e">
        <f t="shared" si="43"/>
        <v>#REF!</v>
      </c>
      <c r="Y142" s="334" t="e">
        <f t="shared" si="43"/>
        <v>#REF!</v>
      </c>
      <c r="Z142" s="334" t="e">
        <f t="shared" si="43"/>
        <v>#REF!</v>
      </c>
      <c r="AA142" s="334" t="e">
        <f t="shared" si="43"/>
        <v>#REF!</v>
      </c>
      <c r="AB142" s="334" t="e">
        <f t="shared" si="43"/>
        <v>#REF!</v>
      </c>
      <c r="AC142" s="334" t="e">
        <f t="shared" si="43"/>
        <v>#REF!</v>
      </c>
      <c r="AD142" s="334" t="e">
        <f t="shared" si="43"/>
        <v>#REF!</v>
      </c>
      <c r="AE142" s="334" t="e">
        <f t="shared" si="43"/>
        <v>#REF!</v>
      </c>
      <c r="AF142" s="334" t="e">
        <f t="shared" si="43"/>
        <v>#REF!</v>
      </c>
      <c r="AG142" s="334" t="e">
        <f t="shared" si="43"/>
        <v>#REF!</v>
      </c>
      <c r="AH142" s="334" t="e">
        <f t="shared" si="43"/>
        <v>#REF!</v>
      </c>
      <c r="AI142" s="334" t="e">
        <f t="shared" si="43"/>
        <v>#REF!</v>
      </c>
      <c r="AJ142" s="334" t="e">
        <f t="shared" si="43"/>
        <v>#REF!</v>
      </c>
      <c r="AK142" s="334" t="e">
        <f t="shared" si="43"/>
        <v>#REF!</v>
      </c>
      <c r="AL142" s="335" t="e">
        <f t="shared" si="43"/>
        <v>#REF!</v>
      </c>
    </row>
    <row r="143" spans="1:38" s="78" customFormat="1" ht="14.25" outlineLevel="2">
      <c r="A143" s="374"/>
      <c r="B143" s="365"/>
      <c r="C143" s="366" t="s">
        <v>303</v>
      </c>
      <c r="D143" s="82" t="s">
        <v>354</v>
      </c>
      <c r="E143" s="406" t="s">
        <v>31</v>
      </c>
      <c r="F143" s="407" t="s">
        <v>31</v>
      </c>
      <c r="G143" s="407" t="s">
        <v>31</v>
      </c>
      <c r="H143" s="408" t="s">
        <v>31</v>
      </c>
      <c r="I143" s="341" t="str">
        <f aca="true" t="shared" si="44" ref="I143:AL143">IF(I90&gt;=I92,"OK","BŁĄD")</f>
        <v>OK</v>
      </c>
      <c r="J143" s="334" t="str">
        <f t="shared" si="44"/>
        <v>OK</v>
      </c>
      <c r="K143" s="334" t="str">
        <f t="shared" si="44"/>
        <v>OK</v>
      </c>
      <c r="L143" s="334" t="str">
        <f t="shared" si="44"/>
        <v>OK</v>
      </c>
      <c r="M143" s="334" t="str">
        <f t="shared" si="44"/>
        <v>OK</v>
      </c>
      <c r="N143" s="334" t="str">
        <f t="shared" si="44"/>
        <v>OK</v>
      </c>
      <c r="O143" s="334" t="str">
        <f t="shared" si="44"/>
        <v>OK</v>
      </c>
      <c r="P143" s="334" t="str">
        <f t="shared" si="44"/>
        <v>OK</v>
      </c>
      <c r="Q143" s="334" t="str">
        <f t="shared" si="44"/>
        <v>OK</v>
      </c>
      <c r="R143" s="334" t="str">
        <f t="shared" si="44"/>
        <v>OK</v>
      </c>
      <c r="S143" s="334" t="str">
        <f t="shared" si="44"/>
        <v>OK</v>
      </c>
      <c r="T143" s="334" t="str">
        <f t="shared" si="44"/>
        <v>OK</v>
      </c>
      <c r="U143" s="334" t="e">
        <f t="shared" si="44"/>
        <v>#REF!</v>
      </c>
      <c r="V143" s="334" t="e">
        <f t="shared" si="44"/>
        <v>#REF!</v>
      </c>
      <c r="W143" s="334" t="e">
        <f t="shared" si="44"/>
        <v>#REF!</v>
      </c>
      <c r="X143" s="334" t="e">
        <f t="shared" si="44"/>
        <v>#REF!</v>
      </c>
      <c r="Y143" s="334" t="e">
        <f t="shared" si="44"/>
        <v>#REF!</v>
      </c>
      <c r="Z143" s="334" t="e">
        <f t="shared" si="44"/>
        <v>#REF!</v>
      </c>
      <c r="AA143" s="334" t="e">
        <f t="shared" si="44"/>
        <v>#REF!</v>
      </c>
      <c r="AB143" s="334" t="e">
        <f t="shared" si="44"/>
        <v>#REF!</v>
      </c>
      <c r="AC143" s="334" t="e">
        <f t="shared" si="44"/>
        <v>#REF!</v>
      </c>
      <c r="AD143" s="334" t="e">
        <f t="shared" si="44"/>
        <v>#REF!</v>
      </c>
      <c r="AE143" s="334" t="e">
        <f t="shared" si="44"/>
        <v>#REF!</v>
      </c>
      <c r="AF143" s="334" t="e">
        <f t="shared" si="44"/>
        <v>#REF!</v>
      </c>
      <c r="AG143" s="334" t="e">
        <f t="shared" si="44"/>
        <v>#REF!</v>
      </c>
      <c r="AH143" s="334" t="e">
        <f t="shared" si="44"/>
        <v>#REF!</v>
      </c>
      <c r="AI143" s="334" t="e">
        <f t="shared" si="44"/>
        <v>#REF!</v>
      </c>
      <c r="AJ143" s="334" t="e">
        <f t="shared" si="44"/>
        <v>#REF!</v>
      </c>
      <c r="AK143" s="334" t="e">
        <f t="shared" si="44"/>
        <v>#REF!</v>
      </c>
      <c r="AL143" s="335" t="e">
        <f t="shared" si="44"/>
        <v>#REF!</v>
      </c>
    </row>
    <row r="144" spans="1:38" s="78" customFormat="1" ht="14.25" outlineLevel="2">
      <c r="A144" s="374"/>
      <c r="B144" s="365"/>
      <c r="C144" s="366" t="s">
        <v>304</v>
      </c>
      <c r="D144" s="82" t="s">
        <v>355</v>
      </c>
      <c r="E144" s="406" t="s">
        <v>31</v>
      </c>
      <c r="F144" s="407" t="s">
        <v>31</v>
      </c>
      <c r="G144" s="407" t="s">
        <v>31</v>
      </c>
      <c r="H144" s="408" t="s">
        <v>31</v>
      </c>
      <c r="I144" s="341" t="str">
        <f aca="true" t="shared" si="45" ref="I144:AL144">IF(I93&gt;=I25,"OK","BŁĄD")</f>
        <v>OK</v>
      </c>
      <c r="J144" s="334" t="str">
        <f t="shared" si="45"/>
        <v>OK</v>
      </c>
      <c r="K144" s="334" t="str">
        <f t="shared" si="45"/>
        <v>OK</v>
      </c>
      <c r="L144" s="334" t="str">
        <f t="shared" si="45"/>
        <v>OK</v>
      </c>
      <c r="M144" s="334" t="str">
        <f t="shared" si="45"/>
        <v>OK</v>
      </c>
      <c r="N144" s="334" t="str">
        <f t="shared" si="45"/>
        <v>OK</v>
      </c>
      <c r="O144" s="334" t="str">
        <f t="shared" si="45"/>
        <v>OK</v>
      </c>
      <c r="P144" s="334" t="str">
        <f t="shared" si="45"/>
        <v>OK</v>
      </c>
      <c r="Q144" s="334" t="str">
        <f t="shared" si="45"/>
        <v>OK</v>
      </c>
      <c r="R144" s="334" t="str">
        <f t="shared" si="45"/>
        <v>OK</v>
      </c>
      <c r="S144" s="334" t="str">
        <f t="shared" si="45"/>
        <v>OK</v>
      </c>
      <c r="T144" s="334" t="str">
        <f t="shared" si="45"/>
        <v>OK</v>
      </c>
      <c r="U144" s="334" t="e">
        <f t="shared" si="45"/>
        <v>#REF!</v>
      </c>
      <c r="V144" s="334" t="e">
        <f t="shared" si="45"/>
        <v>#REF!</v>
      </c>
      <c r="W144" s="334" t="e">
        <f t="shared" si="45"/>
        <v>#REF!</v>
      </c>
      <c r="X144" s="334" t="e">
        <f t="shared" si="45"/>
        <v>#REF!</v>
      </c>
      <c r="Y144" s="334" t="e">
        <f t="shared" si="45"/>
        <v>#REF!</v>
      </c>
      <c r="Z144" s="334" t="e">
        <f t="shared" si="45"/>
        <v>#REF!</v>
      </c>
      <c r="AA144" s="334" t="e">
        <f t="shared" si="45"/>
        <v>#REF!</v>
      </c>
      <c r="AB144" s="334" t="e">
        <f t="shared" si="45"/>
        <v>#REF!</v>
      </c>
      <c r="AC144" s="334" t="e">
        <f t="shared" si="45"/>
        <v>#REF!</v>
      </c>
      <c r="AD144" s="334" t="e">
        <f t="shared" si="45"/>
        <v>#REF!</v>
      </c>
      <c r="AE144" s="334" t="e">
        <f t="shared" si="45"/>
        <v>#REF!</v>
      </c>
      <c r="AF144" s="334" t="e">
        <f t="shared" si="45"/>
        <v>#REF!</v>
      </c>
      <c r="AG144" s="334" t="e">
        <f t="shared" si="45"/>
        <v>#REF!</v>
      </c>
      <c r="AH144" s="334" t="e">
        <f t="shared" si="45"/>
        <v>#REF!</v>
      </c>
      <c r="AI144" s="334" t="e">
        <f t="shared" si="45"/>
        <v>#REF!</v>
      </c>
      <c r="AJ144" s="334" t="e">
        <f t="shared" si="45"/>
        <v>#REF!</v>
      </c>
      <c r="AK144" s="334" t="e">
        <f t="shared" si="45"/>
        <v>#REF!</v>
      </c>
      <c r="AL144" s="335" t="e">
        <f t="shared" si="45"/>
        <v>#REF!</v>
      </c>
    </row>
    <row r="145" spans="1:38" s="78" customFormat="1" ht="14.25" outlineLevel="2">
      <c r="A145" s="374"/>
      <c r="B145" s="365"/>
      <c r="C145" s="366" t="s">
        <v>305</v>
      </c>
      <c r="D145" s="82" t="s">
        <v>356</v>
      </c>
      <c r="E145" s="406" t="s">
        <v>31</v>
      </c>
      <c r="F145" s="407" t="s">
        <v>31</v>
      </c>
      <c r="G145" s="407" t="s">
        <v>31</v>
      </c>
      <c r="H145" s="408" t="s">
        <v>31</v>
      </c>
      <c r="I145" s="341" t="str">
        <f aca="true" t="shared" si="46" ref="I145:AL145">IF(I100&gt;=(I101+I102+I103),"OK","BŁĄD")</f>
        <v>OK</v>
      </c>
      <c r="J145" s="334" t="str">
        <f t="shared" si="46"/>
        <v>OK</v>
      </c>
      <c r="K145" s="334" t="str">
        <f t="shared" si="46"/>
        <v>OK</v>
      </c>
      <c r="L145" s="334" t="str">
        <f t="shared" si="46"/>
        <v>OK</v>
      </c>
      <c r="M145" s="334" t="str">
        <f t="shared" si="46"/>
        <v>OK</v>
      </c>
      <c r="N145" s="334" t="str">
        <f t="shared" si="46"/>
        <v>OK</v>
      </c>
      <c r="O145" s="334" t="str">
        <f t="shared" si="46"/>
        <v>OK</v>
      </c>
      <c r="P145" s="334" t="str">
        <f t="shared" si="46"/>
        <v>OK</v>
      </c>
      <c r="Q145" s="334" t="str">
        <f t="shared" si="46"/>
        <v>OK</v>
      </c>
      <c r="R145" s="334" t="str">
        <f t="shared" si="46"/>
        <v>OK</v>
      </c>
      <c r="S145" s="334" t="str">
        <f t="shared" si="46"/>
        <v>OK</v>
      </c>
      <c r="T145" s="334" t="str">
        <f t="shared" si="46"/>
        <v>OK</v>
      </c>
      <c r="U145" s="334" t="e">
        <f t="shared" si="46"/>
        <v>#REF!</v>
      </c>
      <c r="V145" s="334" t="e">
        <f t="shared" si="46"/>
        <v>#REF!</v>
      </c>
      <c r="W145" s="334" t="e">
        <f t="shared" si="46"/>
        <v>#REF!</v>
      </c>
      <c r="X145" s="334" t="e">
        <f t="shared" si="46"/>
        <v>#REF!</v>
      </c>
      <c r="Y145" s="334" t="e">
        <f t="shared" si="46"/>
        <v>#REF!</v>
      </c>
      <c r="Z145" s="334" t="e">
        <f t="shared" si="46"/>
        <v>#REF!</v>
      </c>
      <c r="AA145" s="334" t="e">
        <f t="shared" si="46"/>
        <v>#REF!</v>
      </c>
      <c r="AB145" s="334" t="e">
        <f t="shared" si="46"/>
        <v>#REF!</v>
      </c>
      <c r="AC145" s="334" t="e">
        <f t="shared" si="46"/>
        <v>#REF!</v>
      </c>
      <c r="AD145" s="334" t="e">
        <f t="shared" si="46"/>
        <v>#REF!</v>
      </c>
      <c r="AE145" s="334" t="e">
        <f t="shared" si="46"/>
        <v>#REF!</v>
      </c>
      <c r="AF145" s="334" t="e">
        <f t="shared" si="46"/>
        <v>#REF!</v>
      </c>
      <c r="AG145" s="334" t="e">
        <f t="shared" si="46"/>
        <v>#REF!</v>
      </c>
      <c r="AH145" s="334" t="e">
        <f t="shared" si="46"/>
        <v>#REF!</v>
      </c>
      <c r="AI145" s="334" t="e">
        <f t="shared" si="46"/>
        <v>#REF!</v>
      </c>
      <c r="AJ145" s="334" t="e">
        <f t="shared" si="46"/>
        <v>#REF!</v>
      </c>
      <c r="AK145" s="334" t="e">
        <f t="shared" si="46"/>
        <v>#REF!</v>
      </c>
      <c r="AL145" s="335" t="e">
        <f t="shared" si="46"/>
        <v>#REF!</v>
      </c>
    </row>
    <row r="146" spans="1:38" s="78" customFormat="1" ht="14.25" outlineLevel="2">
      <c r="A146" s="374"/>
      <c r="B146" s="365"/>
      <c r="C146" s="366" t="s">
        <v>307</v>
      </c>
      <c r="D146" s="82" t="s">
        <v>358</v>
      </c>
      <c r="E146" s="406" t="s">
        <v>31</v>
      </c>
      <c r="F146" s="407" t="s">
        <v>31</v>
      </c>
      <c r="G146" s="407" t="s">
        <v>31</v>
      </c>
      <c r="H146" s="408" t="s">
        <v>31</v>
      </c>
      <c r="I146" s="341" t="str">
        <f aca="true" t="shared" si="47" ref="I146:AL146">IF(I23&gt;=I24,"OK","BŁĄD")</f>
        <v>OK</v>
      </c>
      <c r="J146" s="334" t="str">
        <f t="shared" si="47"/>
        <v>OK</v>
      </c>
      <c r="K146" s="334" t="str">
        <f t="shared" si="47"/>
        <v>OK</v>
      </c>
      <c r="L146" s="334" t="str">
        <f t="shared" si="47"/>
        <v>OK</v>
      </c>
      <c r="M146" s="334" t="str">
        <f t="shared" si="47"/>
        <v>OK</v>
      </c>
      <c r="N146" s="334" t="str">
        <f t="shared" si="47"/>
        <v>OK</v>
      </c>
      <c r="O146" s="334" t="str">
        <f t="shared" si="47"/>
        <v>OK</v>
      </c>
      <c r="P146" s="334" t="str">
        <f t="shared" si="47"/>
        <v>OK</v>
      </c>
      <c r="Q146" s="334" t="str">
        <f t="shared" si="47"/>
        <v>OK</v>
      </c>
      <c r="R146" s="334" t="str">
        <f t="shared" si="47"/>
        <v>OK</v>
      </c>
      <c r="S146" s="334" t="str">
        <f t="shared" si="47"/>
        <v>OK</v>
      </c>
      <c r="T146" s="334" t="str">
        <f t="shared" si="47"/>
        <v>OK</v>
      </c>
      <c r="U146" s="334" t="e">
        <f t="shared" si="47"/>
        <v>#REF!</v>
      </c>
      <c r="V146" s="334" t="e">
        <f t="shared" si="47"/>
        <v>#REF!</v>
      </c>
      <c r="W146" s="334" t="e">
        <f t="shared" si="47"/>
        <v>#REF!</v>
      </c>
      <c r="X146" s="334" t="e">
        <f t="shared" si="47"/>
        <v>#REF!</v>
      </c>
      <c r="Y146" s="334" t="e">
        <f t="shared" si="47"/>
        <v>#REF!</v>
      </c>
      <c r="Z146" s="334" t="e">
        <f t="shared" si="47"/>
        <v>#REF!</v>
      </c>
      <c r="AA146" s="334" t="e">
        <f t="shared" si="47"/>
        <v>#REF!</v>
      </c>
      <c r="AB146" s="334" t="e">
        <f t="shared" si="47"/>
        <v>#REF!</v>
      </c>
      <c r="AC146" s="334" t="e">
        <f t="shared" si="47"/>
        <v>#REF!</v>
      </c>
      <c r="AD146" s="334" t="e">
        <f t="shared" si="47"/>
        <v>#REF!</v>
      </c>
      <c r="AE146" s="334" t="e">
        <f t="shared" si="47"/>
        <v>#REF!</v>
      </c>
      <c r="AF146" s="334" t="e">
        <f t="shared" si="47"/>
        <v>#REF!</v>
      </c>
      <c r="AG146" s="334" t="e">
        <f t="shared" si="47"/>
        <v>#REF!</v>
      </c>
      <c r="AH146" s="334" t="e">
        <f t="shared" si="47"/>
        <v>#REF!</v>
      </c>
      <c r="AI146" s="334" t="e">
        <f t="shared" si="47"/>
        <v>#REF!</v>
      </c>
      <c r="AJ146" s="334" t="e">
        <f t="shared" si="47"/>
        <v>#REF!</v>
      </c>
      <c r="AK146" s="334" t="e">
        <f t="shared" si="47"/>
        <v>#REF!</v>
      </c>
      <c r="AL146" s="335" t="e">
        <f t="shared" si="47"/>
        <v>#REF!</v>
      </c>
    </row>
    <row r="147" spans="1:38" s="78" customFormat="1" ht="14.25" outlineLevel="2">
      <c r="A147" s="374"/>
      <c r="B147" s="365"/>
      <c r="C147" s="366" t="s">
        <v>306</v>
      </c>
      <c r="D147" s="82" t="s">
        <v>357</v>
      </c>
      <c r="E147" s="406" t="s">
        <v>31</v>
      </c>
      <c r="F147" s="407" t="s">
        <v>31</v>
      </c>
      <c r="G147" s="407" t="s">
        <v>31</v>
      </c>
      <c r="H147" s="408" t="s">
        <v>31</v>
      </c>
      <c r="I147" s="341" t="str">
        <f aca="true" t="shared" si="48" ref="I147:AL147">IF(I23&gt;=I103,"OK","BŁĄD")</f>
        <v>OK</v>
      </c>
      <c r="J147" s="334" t="str">
        <f t="shared" si="48"/>
        <v>OK</v>
      </c>
      <c r="K147" s="334" t="str">
        <f t="shared" si="48"/>
        <v>OK</v>
      </c>
      <c r="L147" s="334" t="str">
        <f t="shared" si="48"/>
        <v>OK</v>
      </c>
      <c r="M147" s="334" t="str">
        <f t="shared" si="48"/>
        <v>OK</v>
      </c>
      <c r="N147" s="334" t="str">
        <f t="shared" si="48"/>
        <v>OK</v>
      </c>
      <c r="O147" s="334" t="str">
        <f t="shared" si="48"/>
        <v>OK</v>
      </c>
      <c r="P147" s="334" t="str">
        <f t="shared" si="48"/>
        <v>OK</v>
      </c>
      <c r="Q147" s="334" t="str">
        <f t="shared" si="48"/>
        <v>OK</v>
      </c>
      <c r="R147" s="334" t="str">
        <f t="shared" si="48"/>
        <v>OK</v>
      </c>
      <c r="S147" s="334" t="str">
        <f t="shared" si="48"/>
        <v>OK</v>
      </c>
      <c r="T147" s="334" t="str">
        <f t="shared" si="48"/>
        <v>OK</v>
      </c>
      <c r="U147" s="334" t="e">
        <f t="shared" si="48"/>
        <v>#REF!</v>
      </c>
      <c r="V147" s="334" t="e">
        <f t="shared" si="48"/>
        <v>#REF!</v>
      </c>
      <c r="W147" s="334" t="e">
        <f t="shared" si="48"/>
        <v>#REF!</v>
      </c>
      <c r="X147" s="334" t="e">
        <f t="shared" si="48"/>
        <v>#REF!</v>
      </c>
      <c r="Y147" s="334" t="e">
        <f t="shared" si="48"/>
        <v>#REF!</v>
      </c>
      <c r="Z147" s="334" t="e">
        <f t="shared" si="48"/>
        <v>#REF!</v>
      </c>
      <c r="AA147" s="334" t="e">
        <f t="shared" si="48"/>
        <v>#REF!</v>
      </c>
      <c r="AB147" s="334" t="e">
        <f t="shared" si="48"/>
        <v>#REF!</v>
      </c>
      <c r="AC147" s="334" t="e">
        <f t="shared" si="48"/>
        <v>#REF!</v>
      </c>
      <c r="AD147" s="334" t="e">
        <f t="shared" si="48"/>
        <v>#REF!</v>
      </c>
      <c r="AE147" s="334" t="e">
        <f t="shared" si="48"/>
        <v>#REF!</v>
      </c>
      <c r="AF147" s="334" t="e">
        <f t="shared" si="48"/>
        <v>#REF!</v>
      </c>
      <c r="AG147" s="334" t="e">
        <f t="shared" si="48"/>
        <v>#REF!</v>
      </c>
      <c r="AH147" s="334" t="e">
        <f t="shared" si="48"/>
        <v>#REF!</v>
      </c>
      <c r="AI147" s="334" t="e">
        <f t="shared" si="48"/>
        <v>#REF!</v>
      </c>
      <c r="AJ147" s="334" t="e">
        <f t="shared" si="48"/>
        <v>#REF!</v>
      </c>
      <c r="AK147" s="334" t="e">
        <f t="shared" si="48"/>
        <v>#REF!</v>
      </c>
      <c r="AL147" s="335" t="e">
        <f t="shared" si="48"/>
        <v>#REF!</v>
      </c>
    </row>
    <row r="148" spans="1:38" s="78" customFormat="1" ht="14.25" outlineLevel="2">
      <c r="A148" s="374"/>
      <c r="B148" s="365"/>
      <c r="C148" s="366" t="s">
        <v>308</v>
      </c>
      <c r="D148" s="82" t="s">
        <v>359</v>
      </c>
      <c r="E148" s="406" t="s">
        <v>31</v>
      </c>
      <c r="F148" s="407" t="s">
        <v>31</v>
      </c>
      <c r="G148" s="407" t="s">
        <v>31</v>
      </c>
      <c r="H148" s="408" t="s">
        <v>31</v>
      </c>
      <c r="I148" s="341" t="str">
        <f aca="true" t="shared" si="49" ref="I148:AL148">IF(I26&gt;=I27,"OK","BŁĄD")</f>
        <v>OK</v>
      </c>
      <c r="J148" s="334" t="str">
        <f t="shared" si="49"/>
        <v>OK</v>
      </c>
      <c r="K148" s="334" t="str">
        <f t="shared" si="49"/>
        <v>OK</v>
      </c>
      <c r="L148" s="334" t="str">
        <f t="shared" si="49"/>
        <v>OK</v>
      </c>
      <c r="M148" s="334" t="str">
        <f t="shared" si="49"/>
        <v>OK</v>
      </c>
      <c r="N148" s="334" t="str">
        <f t="shared" si="49"/>
        <v>OK</v>
      </c>
      <c r="O148" s="334" t="str">
        <f t="shared" si="49"/>
        <v>OK</v>
      </c>
      <c r="P148" s="334" t="str">
        <f t="shared" si="49"/>
        <v>OK</v>
      </c>
      <c r="Q148" s="334" t="str">
        <f t="shared" si="49"/>
        <v>OK</v>
      </c>
      <c r="R148" s="334" t="str">
        <f t="shared" si="49"/>
        <v>OK</v>
      </c>
      <c r="S148" s="334" t="str">
        <f t="shared" si="49"/>
        <v>OK</v>
      </c>
      <c r="T148" s="334" t="str">
        <f t="shared" si="49"/>
        <v>OK</v>
      </c>
      <c r="U148" s="334" t="e">
        <f t="shared" si="49"/>
        <v>#REF!</v>
      </c>
      <c r="V148" s="334" t="e">
        <f t="shared" si="49"/>
        <v>#REF!</v>
      </c>
      <c r="W148" s="334" t="e">
        <f t="shared" si="49"/>
        <v>#REF!</v>
      </c>
      <c r="X148" s="334" t="e">
        <f t="shared" si="49"/>
        <v>#REF!</v>
      </c>
      <c r="Y148" s="334" t="e">
        <f t="shared" si="49"/>
        <v>#REF!</v>
      </c>
      <c r="Z148" s="334" t="e">
        <f t="shared" si="49"/>
        <v>#REF!</v>
      </c>
      <c r="AA148" s="334" t="e">
        <f t="shared" si="49"/>
        <v>#REF!</v>
      </c>
      <c r="AB148" s="334" t="e">
        <f t="shared" si="49"/>
        <v>#REF!</v>
      </c>
      <c r="AC148" s="334" t="e">
        <f t="shared" si="49"/>
        <v>#REF!</v>
      </c>
      <c r="AD148" s="334" t="e">
        <f t="shared" si="49"/>
        <v>#REF!</v>
      </c>
      <c r="AE148" s="334" t="e">
        <f t="shared" si="49"/>
        <v>#REF!</v>
      </c>
      <c r="AF148" s="334" t="e">
        <f t="shared" si="49"/>
        <v>#REF!</v>
      </c>
      <c r="AG148" s="334" t="e">
        <f t="shared" si="49"/>
        <v>#REF!</v>
      </c>
      <c r="AH148" s="334" t="e">
        <f t="shared" si="49"/>
        <v>#REF!</v>
      </c>
      <c r="AI148" s="334" t="e">
        <f t="shared" si="49"/>
        <v>#REF!</v>
      </c>
      <c r="AJ148" s="334" t="e">
        <f t="shared" si="49"/>
        <v>#REF!</v>
      </c>
      <c r="AK148" s="334" t="e">
        <f t="shared" si="49"/>
        <v>#REF!</v>
      </c>
      <c r="AL148" s="335" t="e">
        <f t="shared" si="49"/>
        <v>#REF!</v>
      </c>
    </row>
    <row r="149" spans="1:38" s="78" customFormat="1" ht="14.25" outlineLevel="2">
      <c r="A149" s="374"/>
      <c r="B149" s="365"/>
      <c r="C149" s="366" t="s">
        <v>309</v>
      </c>
      <c r="D149" s="82" t="s">
        <v>360</v>
      </c>
      <c r="E149" s="406" t="s">
        <v>31</v>
      </c>
      <c r="F149" s="407" t="s">
        <v>31</v>
      </c>
      <c r="G149" s="407" t="s">
        <v>31</v>
      </c>
      <c r="H149" s="408" t="s">
        <v>31</v>
      </c>
      <c r="I149" s="341" t="str">
        <f aca="true" t="shared" si="50" ref="I149:AL149">IF(I22&gt;=(I23+I25+I26),"OK","BŁĄD")</f>
        <v>OK</v>
      </c>
      <c r="J149" s="334" t="str">
        <f t="shared" si="50"/>
        <v>OK</v>
      </c>
      <c r="K149" s="334" t="str">
        <f t="shared" si="50"/>
        <v>OK</v>
      </c>
      <c r="L149" s="334" t="str">
        <f t="shared" si="50"/>
        <v>OK</v>
      </c>
      <c r="M149" s="334" t="str">
        <f t="shared" si="50"/>
        <v>OK</v>
      </c>
      <c r="N149" s="334" t="str">
        <f t="shared" si="50"/>
        <v>OK</v>
      </c>
      <c r="O149" s="334" t="str">
        <f t="shared" si="50"/>
        <v>OK</v>
      </c>
      <c r="P149" s="334" t="str">
        <f t="shared" si="50"/>
        <v>OK</v>
      </c>
      <c r="Q149" s="334" t="str">
        <f t="shared" si="50"/>
        <v>OK</v>
      </c>
      <c r="R149" s="334" t="str">
        <f t="shared" si="50"/>
        <v>OK</v>
      </c>
      <c r="S149" s="334" t="str">
        <f t="shared" si="50"/>
        <v>OK</v>
      </c>
      <c r="T149" s="334" t="str">
        <f t="shared" si="50"/>
        <v>OK</v>
      </c>
      <c r="U149" s="334" t="e">
        <f t="shared" si="50"/>
        <v>#REF!</v>
      </c>
      <c r="V149" s="334" t="e">
        <f t="shared" si="50"/>
        <v>#REF!</v>
      </c>
      <c r="W149" s="334" t="e">
        <f t="shared" si="50"/>
        <v>#REF!</v>
      </c>
      <c r="X149" s="334" t="e">
        <f t="shared" si="50"/>
        <v>#REF!</v>
      </c>
      <c r="Y149" s="334" t="e">
        <f t="shared" si="50"/>
        <v>#REF!</v>
      </c>
      <c r="Z149" s="334" t="e">
        <f t="shared" si="50"/>
        <v>#REF!</v>
      </c>
      <c r="AA149" s="334" t="e">
        <f t="shared" si="50"/>
        <v>#REF!</v>
      </c>
      <c r="AB149" s="334" t="e">
        <f t="shared" si="50"/>
        <v>#REF!</v>
      </c>
      <c r="AC149" s="334" t="e">
        <f t="shared" si="50"/>
        <v>#REF!</v>
      </c>
      <c r="AD149" s="334" t="e">
        <f t="shared" si="50"/>
        <v>#REF!</v>
      </c>
      <c r="AE149" s="334" t="e">
        <f t="shared" si="50"/>
        <v>#REF!</v>
      </c>
      <c r="AF149" s="334" t="e">
        <f t="shared" si="50"/>
        <v>#REF!</v>
      </c>
      <c r="AG149" s="334" t="e">
        <f t="shared" si="50"/>
        <v>#REF!</v>
      </c>
      <c r="AH149" s="334" t="e">
        <f t="shared" si="50"/>
        <v>#REF!</v>
      </c>
      <c r="AI149" s="334" t="e">
        <f t="shared" si="50"/>
        <v>#REF!</v>
      </c>
      <c r="AJ149" s="334" t="e">
        <f t="shared" si="50"/>
        <v>#REF!</v>
      </c>
      <c r="AK149" s="334" t="e">
        <f t="shared" si="50"/>
        <v>#REF!</v>
      </c>
      <c r="AL149" s="335" t="e">
        <f t="shared" si="50"/>
        <v>#REF!</v>
      </c>
    </row>
    <row r="150" spans="1:38" s="78" customFormat="1" ht="14.25" outlineLevel="2">
      <c r="A150" s="374"/>
      <c r="B150" s="365"/>
      <c r="C150" s="366" t="s">
        <v>310</v>
      </c>
      <c r="D150" s="82" t="s">
        <v>361</v>
      </c>
      <c r="E150" s="406" t="s">
        <v>31</v>
      </c>
      <c r="F150" s="407" t="s">
        <v>31</v>
      </c>
      <c r="G150" s="407" t="s">
        <v>31</v>
      </c>
      <c r="H150" s="408" t="s">
        <v>31</v>
      </c>
      <c r="I150" s="341" t="str">
        <f aca="true" t="shared" si="51" ref="I150:AL150">IF(I22&gt;=I68,"OK","BŁĄD")</f>
        <v>OK</v>
      </c>
      <c r="J150" s="334" t="str">
        <f t="shared" si="51"/>
        <v>OK</v>
      </c>
      <c r="K150" s="334" t="str">
        <f t="shared" si="51"/>
        <v>OK</v>
      </c>
      <c r="L150" s="334" t="str">
        <f t="shared" si="51"/>
        <v>OK</v>
      </c>
      <c r="M150" s="334" t="str">
        <f t="shared" si="51"/>
        <v>OK</v>
      </c>
      <c r="N150" s="334" t="str">
        <f t="shared" si="51"/>
        <v>OK</v>
      </c>
      <c r="O150" s="334" t="str">
        <f t="shared" si="51"/>
        <v>OK</v>
      </c>
      <c r="P150" s="334" t="str">
        <f t="shared" si="51"/>
        <v>OK</v>
      </c>
      <c r="Q150" s="334" t="str">
        <f t="shared" si="51"/>
        <v>OK</v>
      </c>
      <c r="R150" s="334" t="str">
        <f t="shared" si="51"/>
        <v>OK</v>
      </c>
      <c r="S150" s="334" t="str">
        <f t="shared" si="51"/>
        <v>OK</v>
      </c>
      <c r="T150" s="334" t="str">
        <f t="shared" si="51"/>
        <v>OK</v>
      </c>
      <c r="U150" s="334" t="e">
        <f t="shared" si="51"/>
        <v>#REF!</v>
      </c>
      <c r="V150" s="334" t="e">
        <f t="shared" si="51"/>
        <v>#REF!</v>
      </c>
      <c r="W150" s="334" t="e">
        <f t="shared" si="51"/>
        <v>#REF!</v>
      </c>
      <c r="X150" s="334" t="e">
        <f t="shared" si="51"/>
        <v>#REF!</v>
      </c>
      <c r="Y150" s="334" t="e">
        <f t="shared" si="51"/>
        <v>#REF!</v>
      </c>
      <c r="Z150" s="334" t="e">
        <f t="shared" si="51"/>
        <v>#REF!</v>
      </c>
      <c r="AA150" s="334" t="e">
        <f t="shared" si="51"/>
        <v>#REF!</v>
      </c>
      <c r="AB150" s="334" t="e">
        <f t="shared" si="51"/>
        <v>#REF!</v>
      </c>
      <c r="AC150" s="334" t="e">
        <f t="shared" si="51"/>
        <v>#REF!</v>
      </c>
      <c r="AD150" s="334" t="e">
        <f t="shared" si="51"/>
        <v>#REF!</v>
      </c>
      <c r="AE150" s="334" t="e">
        <f t="shared" si="51"/>
        <v>#REF!</v>
      </c>
      <c r="AF150" s="334" t="e">
        <f t="shared" si="51"/>
        <v>#REF!</v>
      </c>
      <c r="AG150" s="334" t="e">
        <f t="shared" si="51"/>
        <v>#REF!</v>
      </c>
      <c r="AH150" s="334" t="e">
        <f t="shared" si="51"/>
        <v>#REF!</v>
      </c>
      <c r="AI150" s="334" t="e">
        <f t="shared" si="51"/>
        <v>#REF!</v>
      </c>
      <c r="AJ150" s="334" t="e">
        <f t="shared" si="51"/>
        <v>#REF!</v>
      </c>
      <c r="AK150" s="334" t="e">
        <f t="shared" si="51"/>
        <v>#REF!</v>
      </c>
      <c r="AL150" s="335" t="e">
        <f t="shared" si="51"/>
        <v>#REF!</v>
      </c>
    </row>
    <row r="151" spans="1:38" s="78" customFormat="1" ht="14.25" outlineLevel="2">
      <c r="A151" s="374"/>
      <c r="B151" s="365"/>
      <c r="C151" s="366" t="s">
        <v>311</v>
      </c>
      <c r="D151" s="82" t="s">
        <v>362</v>
      </c>
      <c r="E151" s="406" t="s">
        <v>31</v>
      </c>
      <c r="F151" s="407" t="s">
        <v>31</v>
      </c>
      <c r="G151" s="407" t="s">
        <v>31</v>
      </c>
      <c r="H151" s="408" t="s">
        <v>31</v>
      </c>
      <c r="I151" s="341" t="str">
        <f aca="true" t="shared" si="52" ref="I151:AL151">IF(I22&gt;=I71,"OK","BŁĄD")</f>
        <v>OK</v>
      </c>
      <c r="J151" s="334" t="str">
        <f t="shared" si="52"/>
        <v>OK</v>
      </c>
      <c r="K151" s="334" t="str">
        <f t="shared" si="52"/>
        <v>OK</v>
      </c>
      <c r="L151" s="334" t="str">
        <f t="shared" si="52"/>
        <v>OK</v>
      </c>
      <c r="M151" s="334" t="str">
        <f t="shared" si="52"/>
        <v>OK</v>
      </c>
      <c r="N151" s="334" t="str">
        <f t="shared" si="52"/>
        <v>OK</v>
      </c>
      <c r="O151" s="334" t="str">
        <f t="shared" si="52"/>
        <v>OK</v>
      </c>
      <c r="P151" s="334" t="str">
        <f t="shared" si="52"/>
        <v>OK</v>
      </c>
      <c r="Q151" s="334" t="str">
        <f t="shared" si="52"/>
        <v>OK</v>
      </c>
      <c r="R151" s="334" t="str">
        <f t="shared" si="52"/>
        <v>OK</v>
      </c>
      <c r="S151" s="334" t="str">
        <f t="shared" si="52"/>
        <v>OK</v>
      </c>
      <c r="T151" s="334" t="str">
        <f t="shared" si="52"/>
        <v>OK</v>
      </c>
      <c r="U151" s="334" t="e">
        <f t="shared" si="52"/>
        <v>#REF!</v>
      </c>
      <c r="V151" s="334" t="e">
        <f t="shared" si="52"/>
        <v>#REF!</v>
      </c>
      <c r="W151" s="334" t="e">
        <f t="shared" si="52"/>
        <v>#REF!</v>
      </c>
      <c r="X151" s="334" t="e">
        <f t="shared" si="52"/>
        <v>#REF!</v>
      </c>
      <c r="Y151" s="334" t="e">
        <f t="shared" si="52"/>
        <v>#REF!</v>
      </c>
      <c r="Z151" s="334" t="e">
        <f t="shared" si="52"/>
        <v>#REF!</v>
      </c>
      <c r="AA151" s="334" t="e">
        <f t="shared" si="52"/>
        <v>#REF!</v>
      </c>
      <c r="AB151" s="334" t="e">
        <f t="shared" si="52"/>
        <v>#REF!</v>
      </c>
      <c r="AC151" s="334" t="e">
        <f t="shared" si="52"/>
        <v>#REF!</v>
      </c>
      <c r="AD151" s="334" t="e">
        <f t="shared" si="52"/>
        <v>#REF!</v>
      </c>
      <c r="AE151" s="334" t="e">
        <f t="shared" si="52"/>
        <v>#REF!</v>
      </c>
      <c r="AF151" s="334" t="e">
        <f t="shared" si="52"/>
        <v>#REF!</v>
      </c>
      <c r="AG151" s="334" t="e">
        <f t="shared" si="52"/>
        <v>#REF!</v>
      </c>
      <c r="AH151" s="334" t="e">
        <f t="shared" si="52"/>
        <v>#REF!</v>
      </c>
      <c r="AI151" s="334" t="e">
        <f t="shared" si="52"/>
        <v>#REF!</v>
      </c>
      <c r="AJ151" s="334" t="e">
        <f t="shared" si="52"/>
        <v>#REF!</v>
      </c>
      <c r="AK151" s="334" t="e">
        <f t="shared" si="52"/>
        <v>#REF!</v>
      </c>
      <c r="AL151" s="335" t="e">
        <f t="shared" si="52"/>
        <v>#REF!</v>
      </c>
    </row>
    <row r="152" spans="1:38" s="78" customFormat="1" ht="14.25" outlineLevel="2">
      <c r="A152" s="374"/>
      <c r="B152" s="365"/>
      <c r="C152" s="366" t="s">
        <v>312</v>
      </c>
      <c r="D152" s="82" t="s">
        <v>363</v>
      </c>
      <c r="E152" s="406" t="s">
        <v>31</v>
      </c>
      <c r="F152" s="407" t="s">
        <v>31</v>
      </c>
      <c r="G152" s="407" t="s">
        <v>31</v>
      </c>
      <c r="H152" s="408" t="s">
        <v>31</v>
      </c>
      <c r="I152" s="341" t="str">
        <f aca="true" t="shared" si="53" ref="I152:AL152">IF(I22&gt;=I83,"OK","BŁĄD")</f>
        <v>OK</v>
      </c>
      <c r="J152" s="334" t="str">
        <f t="shared" si="53"/>
        <v>OK</v>
      </c>
      <c r="K152" s="334" t="str">
        <f t="shared" si="53"/>
        <v>OK</v>
      </c>
      <c r="L152" s="334" t="str">
        <f t="shared" si="53"/>
        <v>OK</v>
      </c>
      <c r="M152" s="334" t="str">
        <f t="shared" si="53"/>
        <v>OK</v>
      </c>
      <c r="N152" s="334" t="str">
        <f t="shared" si="53"/>
        <v>OK</v>
      </c>
      <c r="O152" s="334" t="str">
        <f t="shared" si="53"/>
        <v>OK</v>
      </c>
      <c r="P152" s="334" t="str">
        <f t="shared" si="53"/>
        <v>OK</v>
      </c>
      <c r="Q152" s="334" t="str">
        <f t="shared" si="53"/>
        <v>OK</v>
      </c>
      <c r="R152" s="334" t="str">
        <f t="shared" si="53"/>
        <v>OK</v>
      </c>
      <c r="S152" s="334" t="str">
        <f t="shared" si="53"/>
        <v>OK</v>
      </c>
      <c r="T152" s="334" t="str">
        <f t="shared" si="53"/>
        <v>OK</v>
      </c>
      <c r="U152" s="334" t="e">
        <f t="shared" si="53"/>
        <v>#REF!</v>
      </c>
      <c r="V152" s="334" t="e">
        <f t="shared" si="53"/>
        <v>#REF!</v>
      </c>
      <c r="W152" s="334" t="e">
        <f t="shared" si="53"/>
        <v>#REF!</v>
      </c>
      <c r="X152" s="334" t="e">
        <f t="shared" si="53"/>
        <v>#REF!</v>
      </c>
      <c r="Y152" s="334" t="e">
        <f t="shared" si="53"/>
        <v>#REF!</v>
      </c>
      <c r="Z152" s="334" t="e">
        <f t="shared" si="53"/>
        <v>#REF!</v>
      </c>
      <c r="AA152" s="334" t="e">
        <f t="shared" si="53"/>
        <v>#REF!</v>
      </c>
      <c r="AB152" s="334" t="e">
        <f t="shared" si="53"/>
        <v>#REF!</v>
      </c>
      <c r="AC152" s="334" t="e">
        <f t="shared" si="53"/>
        <v>#REF!</v>
      </c>
      <c r="AD152" s="334" t="e">
        <f t="shared" si="53"/>
        <v>#REF!</v>
      </c>
      <c r="AE152" s="334" t="e">
        <f t="shared" si="53"/>
        <v>#REF!</v>
      </c>
      <c r="AF152" s="334" t="e">
        <f t="shared" si="53"/>
        <v>#REF!</v>
      </c>
      <c r="AG152" s="334" t="e">
        <f t="shared" si="53"/>
        <v>#REF!</v>
      </c>
      <c r="AH152" s="334" t="e">
        <f t="shared" si="53"/>
        <v>#REF!</v>
      </c>
      <c r="AI152" s="334" t="e">
        <f t="shared" si="53"/>
        <v>#REF!</v>
      </c>
      <c r="AJ152" s="334" t="e">
        <f t="shared" si="53"/>
        <v>#REF!</v>
      </c>
      <c r="AK152" s="334" t="e">
        <f t="shared" si="53"/>
        <v>#REF!</v>
      </c>
      <c r="AL152" s="335" t="e">
        <f t="shared" si="53"/>
        <v>#REF!</v>
      </c>
    </row>
    <row r="153" spans="1:38" s="78" customFormat="1" ht="14.25" outlineLevel="2">
      <c r="A153" s="374"/>
      <c r="B153" s="365"/>
      <c r="C153" s="366" t="s">
        <v>313</v>
      </c>
      <c r="D153" s="82" t="s">
        <v>364</v>
      </c>
      <c r="E153" s="406" t="s">
        <v>31</v>
      </c>
      <c r="F153" s="407" t="s">
        <v>31</v>
      </c>
      <c r="G153" s="407" t="s">
        <v>31</v>
      </c>
      <c r="H153" s="408" t="s">
        <v>31</v>
      </c>
      <c r="I153" s="341" t="str">
        <f aca="true" t="shared" si="54" ref="I153:AL153">IF(I22&gt;=I96,"OK","BŁĄD")</f>
        <v>OK</v>
      </c>
      <c r="J153" s="334" t="str">
        <f t="shared" si="54"/>
        <v>OK</v>
      </c>
      <c r="K153" s="334" t="str">
        <f t="shared" si="54"/>
        <v>OK</v>
      </c>
      <c r="L153" s="334" t="str">
        <f t="shared" si="54"/>
        <v>OK</v>
      </c>
      <c r="M153" s="334" t="str">
        <f t="shared" si="54"/>
        <v>OK</v>
      </c>
      <c r="N153" s="334" t="str">
        <f t="shared" si="54"/>
        <v>OK</v>
      </c>
      <c r="O153" s="334" t="str">
        <f t="shared" si="54"/>
        <v>OK</v>
      </c>
      <c r="P153" s="334" t="str">
        <f t="shared" si="54"/>
        <v>OK</v>
      </c>
      <c r="Q153" s="334" t="str">
        <f t="shared" si="54"/>
        <v>OK</v>
      </c>
      <c r="R153" s="334" t="str">
        <f t="shared" si="54"/>
        <v>OK</v>
      </c>
      <c r="S153" s="334" t="str">
        <f t="shared" si="54"/>
        <v>OK</v>
      </c>
      <c r="T153" s="334" t="str">
        <f t="shared" si="54"/>
        <v>OK</v>
      </c>
      <c r="U153" s="334" t="e">
        <f t="shared" si="54"/>
        <v>#REF!</v>
      </c>
      <c r="V153" s="334" t="e">
        <f t="shared" si="54"/>
        <v>#REF!</v>
      </c>
      <c r="W153" s="334" t="e">
        <f t="shared" si="54"/>
        <v>#REF!</v>
      </c>
      <c r="X153" s="334" t="e">
        <f t="shared" si="54"/>
        <v>#REF!</v>
      </c>
      <c r="Y153" s="334" t="e">
        <f t="shared" si="54"/>
        <v>#REF!</v>
      </c>
      <c r="Z153" s="334" t="e">
        <f t="shared" si="54"/>
        <v>#REF!</v>
      </c>
      <c r="AA153" s="334" t="e">
        <f t="shared" si="54"/>
        <v>#REF!</v>
      </c>
      <c r="AB153" s="334" t="e">
        <f t="shared" si="54"/>
        <v>#REF!</v>
      </c>
      <c r="AC153" s="334" t="e">
        <f t="shared" si="54"/>
        <v>#REF!</v>
      </c>
      <c r="AD153" s="334" t="e">
        <f t="shared" si="54"/>
        <v>#REF!</v>
      </c>
      <c r="AE153" s="334" t="e">
        <f t="shared" si="54"/>
        <v>#REF!</v>
      </c>
      <c r="AF153" s="334" t="e">
        <f t="shared" si="54"/>
        <v>#REF!</v>
      </c>
      <c r="AG153" s="334" t="e">
        <f t="shared" si="54"/>
        <v>#REF!</v>
      </c>
      <c r="AH153" s="334" t="e">
        <f t="shared" si="54"/>
        <v>#REF!</v>
      </c>
      <c r="AI153" s="334" t="e">
        <f t="shared" si="54"/>
        <v>#REF!</v>
      </c>
      <c r="AJ153" s="334" t="e">
        <f t="shared" si="54"/>
        <v>#REF!</v>
      </c>
      <c r="AK153" s="334" t="e">
        <f t="shared" si="54"/>
        <v>#REF!</v>
      </c>
      <c r="AL153" s="335" t="e">
        <f t="shared" si="54"/>
        <v>#REF!</v>
      </c>
    </row>
    <row r="154" spans="1:38" s="78" customFormat="1" ht="14.25" outlineLevel="2">
      <c r="A154" s="374"/>
      <c r="B154" s="365"/>
      <c r="C154" s="366" t="s">
        <v>314</v>
      </c>
      <c r="D154" s="82" t="s">
        <v>365</v>
      </c>
      <c r="E154" s="406" t="s">
        <v>31</v>
      </c>
      <c r="F154" s="407" t="s">
        <v>31</v>
      </c>
      <c r="G154" s="407" t="s">
        <v>31</v>
      </c>
      <c r="H154" s="408" t="s">
        <v>31</v>
      </c>
      <c r="I154" s="341" t="str">
        <f aca="true" t="shared" si="55" ref="I154:AL154">IF(I28&gt;=I72,"OK","BŁĄD")</f>
        <v>OK</v>
      </c>
      <c r="J154" s="334" t="str">
        <f t="shared" si="55"/>
        <v>OK</v>
      </c>
      <c r="K154" s="334" t="str">
        <f t="shared" si="55"/>
        <v>OK</v>
      </c>
      <c r="L154" s="334" t="str">
        <f t="shared" si="55"/>
        <v>OK</v>
      </c>
      <c r="M154" s="334" t="str">
        <f t="shared" si="55"/>
        <v>OK</v>
      </c>
      <c r="N154" s="334" t="str">
        <f t="shared" si="55"/>
        <v>OK</v>
      </c>
      <c r="O154" s="334" t="str">
        <f t="shared" si="55"/>
        <v>OK</v>
      </c>
      <c r="P154" s="334" t="str">
        <f t="shared" si="55"/>
        <v>OK</v>
      </c>
      <c r="Q154" s="334" t="str">
        <f t="shared" si="55"/>
        <v>OK</v>
      </c>
      <c r="R154" s="334" t="str">
        <f t="shared" si="55"/>
        <v>OK</v>
      </c>
      <c r="S154" s="334" t="str">
        <f t="shared" si="55"/>
        <v>OK</v>
      </c>
      <c r="T154" s="334" t="str">
        <f t="shared" si="55"/>
        <v>OK</v>
      </c>
      <c r="U154" s="334" t="e">
        <f t="shared" si="55"/>
        <v>#REF!</v>
      </c>
      <c r="V154" s="334" t="e">
        <f t="shared" si="55"/>
        <v>#REF!</v>
      </c>
      <c r="W154" s="334" t="e">
        <f t="shared" si="55"/>
        <v>#REF!</v>
      </c>
      <c r="X154" s="334" t="e">
        <f t="shared" si="55"/>
        <v>#REF!</v>
      </c>
      <c r="Y154" s="334" t="e">
        <f t="shared" si="55"/>
        <v>#REF!</v>
      </c>
      <c r="Z154" s="334" t="e">
        <f t="shared" si="55"/>
        <v>#REF!</v>
      </c>
      <c r="AA154" s="334" t="e">
        <f t="shared" si="55"/>
        <v>#REF!</v>
      </c>
      <c r="AB154" s="334" t="e">
        <f t="shared" si="55"/>
        <v>#REF!</v>
      </c>
      <c r="AC154" s="334" t="e">
        <f t="shared" si="55"/>
        <v>#REF!</v>
      </c>
      <c r="AD154" s="334" t="e">
        <f t="shared" si="55"/>
        <v>#REF!</v>
      </c>
      <c r="AE154" s="334" t="e">
        <f t="shared" si="55"/>
        <v>#REF!</v>
      </c>
      <c r="AF154" s="334" t="e">
        <f t="shared" si="55"/>
        <v>#REF!</v>
      </c>
      <c r="AG154" s="334" t="e">
        <f t="shared" si="55"/>
        <v>#REF!</v>
      </c>
      <c r="AH154" s="334" t="e">
        <f t="shared" si="55"/>
        <v>#REF!</v>
      </c>
      <c r="AI154" s="334" t="e">
        <f t="shared" si="55"/>
        <v>#REF!</v>
      </c>
      <c r="AJ154" s="334" t="e">
        <f t="shared" si="55"/>
        <v>#REF!</v>
      </c>
      <c r="AK154" s="334" t="e">
        <f t="shared" si="55"/>
        <v>#REF!</v>
      </c>
      <c r="AL154" s="335" t="e">
        <f t="shared" si="55"/>
        <v>#REF!</v>
      </c>
    </row>
    <row r="155" spans="1:38" s="78" customFormat="1" ht="14.25" outlineLevel="2">
      <c r="A155" s="374"/>
      <c r="B155" s="365"/>
      <c r="C155" s="366" t="s">
        <v>315</v>
      </c>
      <c r="D155" s="82" t="s">
        <v>366</v>
      </c>
      <c r="E155" s="406" t="s">
        <v>31</v>
      </c>
      <c r="F155" s="407" t="s">
        <v>31</v>
      </c>
      <c r="G155" s="407" t="s">
        <v>31</v>
      </c>
      <c r="H155" s="408" t="s">
        <v>31</v>
      </c>
      <c r="I155" s="341" t="str">
        <f aca="true" t="shared" si="56" ref="I155:AL155">IF(I28&gt;=I73+I74,"OK","BŁĄD")</f>
        <v>OK</v>
      </c>
      <c r="J155" s="334" t="str">
        <f t="shared" si="56"/>
        <v>OK</v>
      </c>
      <c r="K155" s="334" t="str">
        <f t="shared" si="56"/>
        <v>OK</v>
      </c>
      <c r="L155" s="334" t="str">
        <f t="shared" si="56"/>
        <v>OK</v>
      </c>
      <c r="M155" s="334" t="str">
        <f t="shared" si="56"/>
        <v>OK</v>
      </c>
      <c r="N155" s="334" t="str">
        <f t="shared" si="56"/>
        <v>OK</v>
      </c>
      <c r="O155" s="334" t="str">
        <f t="shared" si="56"/>
        <v>OK</v>
      </c>
      <c r="P155" s="334" t="str">
        <f t="shared" si="56"/>
        <v>OK</v>
      </c>
      <c r="Q155" s="334" t="str">
        <f t="shared" si="56"/>
        <v>OK</v>
      </c>
      <c r="R155" s="334" t="str">
        <f t="shared" si="56"/>
        <v>OK</v>
      </c>
      <c r="S155" s="334" t="str">
        <f t="shared" si="56"/>
        <v>OK</v>
      </c>
      <c r="T155" s="334" t="str">
        <f t="shared" si="56"/>
        <v>OK</v>
      </c>
      <c r="U155" s="334" t="e">
        <f t="shared" si="56"/>
        <v>#REF!</v>
      </c>
      <c r="V155" s="334" t="e">
        <f t="shared" si="56"/>
        <v>#REF!</v>
      </c>
      <c r="W155" s="334" t="e">
        <f t="shared" si="56"/>
        <v>#REF!</v>
      </c>
      <c r="X155" s="334" t="e">
        <f t="shared" si="56"/>
        <v>#REF!</v>
      </c>
      <c r="Y155" s="334" t="e">
        <f t="shared" si="56"/>
        <v>#REF!</v>
      </c>
      <c r="Z155" s="334" t="e">
        <f t="shared" si="56"/>
        <v>#REF!</v>
      </c>
      <c r="AA155" s="334" t="e">
        <f t="shared" si="56"/>
        <v>#REF!</v>
      </c>
      <c r="AB155" s="334" t="e">
        <f t="shared" si="56"/>
        <v>#REF!</v>
      </c>
      <c r="AC155" s="334" t="e">
        <f t="shared" si="56"/>
        <v>#REF!</v>
      </c>
      <c r="AD155" s="334" t="e">
        <f t="shared" si="56"/>
        <v>#REF!</v>
      </c>
      <c r="AE155" s="334" t="e">
        <f t="shared" si="56"/>
        <v>#REF!</v>
      </c>
      <c r="AF155" s="334" t="e">
        <f t="shared" si="56"/>
        <v>#REF!</v>
      </c>
      <c r="AG155" s="334" t="e">
        <f t="shared" si="56"/>
        <v>#REF!</v>
      </c>
      <c r="AH155" s="334" t="e">
        <f t="shared" si="56"/>
        <v>#REF!</v>
      </c>
      <c r="AI155" s="334" t="e">
        <f t="shared" si="56"/>
        <v>#REF!</v>
      </c>
      <c r="AJ155" s="334" t="e">
        <f t="shared" si="56"/>
        <v>#REF!</v>
      </c>
      <c r="AK155" s="334" t="e">
        <f t="shared" si="56"/>
        <v>#REF!</v>
      </c>
      <c r="AL155" s="335" t="e">
        <f t="shared" si="56"/>
        <v>#REF!</v>
      </c>
    </row>
    <row r="156" spans="1:38" s="78" customFormat="1" ht="14.25" outlineLevel="2">
      <c r="A156" s="374"/>
      <c r="B156" s="365"/>
      <c r="C156" s="366" t="s">
        <v>316</v>
      </c>
      <c r="D156" s="82" t="s">
        <v>367</v>
      </c>
      <c r="E156" s="406" t="s">
        <v>31</v>
      </c>
      <c r="F156" s="407" t="s">
        <v>31</v>
      </c>
      <c r="G156" s="407" t="s">
        <v>31</v>
      </c>
      <c r="H156" s="408" t="s">
        <v>31</v>
      </c>
      <c r="I156" s="341" t="str">
        <f aca="true" t="shared" si="57" ref="I156:AL156">IF(I28&gt;=I75,"OK","BŁĄD")</f>
        <v>OK</v>
      </c>
      <c r="J156" s="334" t="str">
        <f t="shared" si="57"/>
        <v>OK</v>
      </c>
      <c r="K156" s="334" t="str">
        <f t="shared" si="57"/>
        <v>OK</v>
      </c>
      <c r="L156" s="334" t="str">
        <f t="shared" si="57"/>
        <v>OK</v>
      </c>
      <c r="M156" s="334" t="str">
        <f t="shared" si="57"/>
        <v>OK</v>
      </c>
      <c r="N156" s="334" t="str">
        <f t="shared" si="57"/>
        <v>OK</v>
      </c>
      <c r="O156" s="334" t="str">
        <f t="shared" si="57"/>
        <v>OK</v>
      </c>
      <c r="P156" s="334" t="str">
        <f t="shared" si="57"/>
        <v>OK</v>
      </c>
      <c r="Q156" s="334" t="str">
        <f t="shared" si="57"/>
        <v>OK</v>
      </c>
      <c r="R156" s="334" t="str">
        <f t="shared" si="57"/>
        <v>OK</v>
      </c>
      <c r="S156" s="334" t="str">
        <f t="shared" si="57"/>
        <v>OK</v>
      </c>
      <c r="T156" s="334" t="str">
        <f t="shared" si="57"/>
        <v>OK</v>
      </c>
      <c r="U156" s="334" t="e">
        <f t="shared" si="57"/>
        <v>#REF!</v>
      </c>
      <c r="V156" s="334" t="e">
        <f t="shared" si="57"/>
        <v>#REF!</v>
      </c>
      <c r="W156" s="334" t="e">
        <f t="shared" si="57"/>
        <v>#REF!</v>
      </c>
      <c r="X156" s="334" t="e">
        <f t="shared" si="57"/>
        <v>#REF!</v>
      </c>
      <c r="Y156" s="334" t="e">
        <f t="shared" si="57"/>
        <v>#REF!</v>
      </c>
      <c r="Z156" s="334" t="e">
        <f t="shared" si="57"/>
        <v>#REF!</v>
      </c>
      <c r="AA156" s="334" t="e">
        <f t="shared" si="57"/>
        <v>#REF!</v>
      </c>
      <c r="AB156" s="334" t="e">
        <f t="shared" si="57"/>
        <v>#REF!</v>
      </c>
      <c r="AC156" s="334" t="e">
        <f t="shared" si="57"/>
        <v>#REF!</v>
      </c>
      <c r="AD156" s="334" t="e">
        <f t="shared" si="57"/>
        <v>#REF!</v>
      </c>
      <c r="AE156" s="334" t="e">
        <f t="shared" si="57"/>
        <v>#REF!</v>
      </c>
      <c r="AF156" s="334" t="e">
        <f t="shared" si="57"/>
        <v>#REF!</v>
      </c>
      <c r="AG156" s="334" t="e">
        <f t="shared" si="57"/>
        <v>#REF!</v>
      </c>
      <c r="AH156" s="334" t="e">
        <f t="shared" si="57"/>
        <v>#REF!</v>
      </c>
      <c r="AI156" s="334" t="e">
        <f t="shared" si="57"/>
        <v>#REF!</v>
      </c>
      <c r="AJ156" s="334" t="e">
        <f t="shared" si="57"/>
        <v>#REF!</v>
      </c>
      <c r="AK156" s="334" t="e">
        <f t="shared" si="57"/>
        <v>#REF!</v>
      </c>
      <c r="AL156" s="335" t="e">
        <f t="shared" si="57"/>
        <v>#REF!</v>
      </c>
    </row>
    <row r="157" spans="1:38" s="78" customFormat="1" ht="14.25" outlineLevel="2">
      <c r="A157" s="374"/>
      <c r="B157" s="365"/>
      <c r="C157" s="366" t="s">
        <v>317</v>
      </c>
      <c r="D157" s="82" t="s">
        <v>368</v>
      </c>
      <c r="E157" s="406" t="s">
        <v>31</v>
      </c>
      <c r="F157" s="407" t="s">
        <v>31</v>
      </c>
      <c r="G157" s="407" t="s">
        <v>31</v>
      </c>
      <c r="H157" s="408" t="s">
        <v>31</v>
      </c>
      <c r="I157" s="341" t="str">
        <f aca="true" t="shared" si="58" ref="I157:AL157">IF(I28&gt;=I86,"OK","BŁĄD")</f>
        <v>OK</v>
      </c>
      <c r="J157" s="334" t="str">
        <f t="shared" si="58"/>
        <v>OK</v>
      </c>
      <c r="K157" s="334" t="str">
        <f t="shared" si="58"/>
        <v>OK</v>
      </c>
      <c r="L157" s="334" t="str">
        <f t="shared" si="58"/>
        <v>OK</v>
      </c>
      <c r="M157" s="334" t="str">
        <f t="shared" si="58"/>
        <v>OK</v>
      </c>
      <c r="N157" s="334" t="str">
        <f t="shared" si="58"/>
        <v>OK</v>
      </c>
      <c r="O157" s="334" t="str">
        <f t="shared" si="58"/>
        <v>OK</v>
      </c>
      <c r="P157" s="334" t="str">
        <f t="shared" si="58"/>
        <v>OK</v>
      </c>
      <c r="Q157" s="334" t="str">
        <f t="shared" si="58"/>
        <v>OK</v>
      </c>
      <c r="R157" s="334" t="str">
        <f t="shared" si="58"/>
        <v>OK</v>
      </c>
      <c r="S157" s="334" t="str">
        <f t="shared" si="58"/>
        <v>OK</v>
      </c>
      <c r="T157" s="334" t="str">
        <f t="shared" si="58"/>
        <v>OK</v>
      </c>
      <c r="U157" s="334" t="e">
        <f t="shared" si="58"/>
        <v>#REF!</v>
      </c>
      <c r="V157" s="334" t="e">
        <f t="shared" si="58"/>
        <v>#REF!</v>
      </c>
      <c r="W157" s="334" t="e">
        <f t="shared" si="58"/>
        <v>#REF!</v>
      </c>
      <c r="X157" s="334" t="e">
        <f t="shared" si="58"/>
        <v>#REF!</v>
      </c>
      <c r="Y157" s="334" t="e">
        <f t="shared" si="58"/>
        <v>#REF!</v>
      </c>
      <c r="Z157" s="334" t="e">
        <f t="shared" si="58"/>
        <v>#REF!</v>
      </c>
      <c r="AA157" s="334" t="e">
        <f t="shared" si="58"/>
        <v>#REF!</v>
      </c>
      <c r="AB157" s="334" t="e">
        <f t="shared" si="58"/>
        <v>#REF!</v>
      </c>
      <c r="AC157" s="334" t="e">
        <f t="shared" si="58"/>
        <v>#REF!</v>
      </c>
      <c r="AD157" s="334" t="e">
        <f t="shared" si="58"/>
        <v>#REF!</v>
      </c>
      <c r="AE157" s="334" t="e">
        <f t="shared" si="58"/>
        <v>#REF!</v>
      </c>
      <c r="AF157" s="334" t="e">
        <f t="shared" si="58"/>
        <v>#REF!</v>
      </c>
      <c r="AG157" s="334" t="e">
        <f t="shared" si="58"/>
        <v>#REF!</v>
      </c>
      <c r="AH157" s="334" t="e">
        <f t="shared" si="58"/>
        <v>#REF!</v>
      </c>
      <c r="AI157" s="334" t="e">
        <f t="shared" si="58"/>
        <v>#REF!</v>
      </c>
      <c r="AJ157" s="334" t="e">
        <f t="shared" si="58"/>
        <v>#REF!</v>
      </c>
      <c r="AK157" s="334" t="e">
        <f t="shared" si="58"/>
        <v>#REF!</v>
      </c>
      <c r="AL157" s="335" t="e">
        <f t="shared" si="58"/>
        <v>#REF!</v>
      </c>
    </row>
    <row r="158" spans="1:38" s="78" customFormat="1" ht="14.25" outlineLevel="2">
      <c r="A158" s="374"/>
      <c r="B158" s="365"/>
      <c r="C158" s="366" t="s">
        <v>318</v>
      </c>
      <c r="D158" s="82" t="s">
        <v>369</v>
      </c>
      <c r="E158" s="406" t="s">
        <v>31</v>
      </c>
      <c r="F158" s="407" t="s">
        <v>31</v>
      </c>
      <c r="G158" s="407" t="s">
        <v>31</v>
      </c>
      <c r="H158" s="408" t="s">
        <v>31</v>
      </c>
      <c r="I158" s="341" t="str">
        <f aca="true" t="shared" si="59" ref="I158:AL158">IF(I31&gt;=I32,"OK","BŁĄD")</f>
        <v>OK</v>
      </c>
      <c r="J158" s="334" t="str">
        <f t="shared" si="59"/>
        <v>OK</v>
      </c>
      <c r="K158" s="334" t="str">
        <f t="shared" si="59"/>
        <v>OK</v>
      </c>
      <c r="L158" s="334" t="str">
        <f t="shared" si="59"/>
        <v>OK</v>
      </c>
      <c r="M158" s="334" t="str">
        <f t="shared" si="59"/>
        <v>OK</v>
      </c>
      <c r="N158" s="334" t="str">
        <f t="shared" si="59"/>
        <v>OK</v>
      </c>
      <c r="O158" s="334" t="str">
        <f t="shared" si="59"/>
        <v>OK</v>
      </c>
      <c r="P158" s="334" t="str">
        <f t="shared" si="59"/>
        <v>OK</v>
      </c>
      <c r="Q158" s="334" t="str">
        <f t="shared" si="59"/>
        <v>OK</v>
      </c>
      <c r="R158" s="334" t="str">
        <f t="shared" si="59"/>
        <v>OK</v>
      </c>
      <c r="S158" s="334" t="str">
        <f t="shared" si="59"/>
        <v>OK</v>
      </c>
      <c r="T158" s="334" t="str">
        <f t="shared" si="59"/>
        <v>OK</v>
      </c>
      <c r="U158" s="334" t="e">
        <f t="shared" si="59"/>
        <v>#REF!</v>
      </c>
      <c r="V158" s="334" t="e">
        <f t="shared" si="59"/>
        <v>#REF!</v>
      </c>
      <c r="W158" s="334" t="e">
        <f t="shared" si="59"/>
        <v>#REF!</v>
      </c>
      <c r="X158" s="334" t="e">
        <f t="shared" si="59"/>
        <v>#REF!</v>
      </c>
      <c r="Y158" s="334" t="e">
        <f t="shared" si="59"/>
        <v>#REF!</v>
      </c>
      <c r="Z158" s="334" t="e">
        <f t="shared" si="59"/>
        <v>#REF!</v>
      </c>
      <c r="AA158" s="334" t="e">
        <f t="shared" si="59"/>
        <v>#REF!</v>
      </c>
      <c r="AB158" s="334" t="e">
        <f t="shared" si="59"/>
        <v>#REF!</v>
      </c>
      <c r="AC158" s="334" t="e">
        <f t="shared" si="59"/>
        <v>#REF!</v>
      </c>
      <c r="AD158" s="334" t="e">
        <f t="shared" si="59"/>
        <v>#REF!</v>
      </c>
      <c r="AE158" s="334" t="e">
        <f t="shared" si="59"/>
        <v>#REF!</v>
      </c>
      <c r="AF158" s="334" t="e">
        <f t="shared" si="59"/>
        <v>#REF!</v>
      </c>
      <c r="AG158" s="334" t="e">
        <f t="shared" si="59"/>
        <v>#REF!</v>
      </c>
      <c r="AH158" s="334" t="e">
        <f t="shared" si="59"/>
        <v>#REF!</v>
      </c>
      <c r="AI158" s="334" t="e">
        <f t="shared" si="59"/>
        <v>#REF!</v>
      </c>
      <c r="AJ158" s="334" t="e">
        <f t="shared" si="59"/>
        <v>#REF!</v>
      </c>
      <c r="AK158" s="334" t="e">
        <f t="shared" si="59"/>
        <v>#REF!</v>
      </c>
      <c r="AL158" s="335" t="e">
        <f t="shared" si="59"/>
        <v>#REF!</v>
      </c>
    </row>
    <row r="159" spans="1:38" s="78" customFormat="1" ht="14.25" outlineLevel="2">
      <c r="A159" s="374"/>
      <c r="B159" s="365"/>
      <c r="C159" s="366" t="s">
        <v>319</v>
      </c>
      <c r="D159" s="82" t="s">
        <v>370</v>
      </c>
      <c r="E159" s="406" t="s">
        <v>31</v>
      </c>
      <c r="F159" s="407" t="s">
        <v>31</v>
      </c>
      <c r="G159" s="407" t="s">
        <v>31</v>
      </c>
      <c r="H159" s="408" t="s">
        <v>31</v>
      </c>
      <c r="I159" s="341" t="str">
        <f aca="true" t="shared" si="60" ref="I159:AL159">IF(I33&gt;=I34,"OK","BŁĄD")</f>
        <v>OK</v>
      </c>
      <c r="J159" s="334" t="str">
        <f t="shared" si="60"/>
        <v>OK</v>
      </c>
      <c r="K159" s="334" t="str">
        <f t="shared" si="60"/>
        <v>OK</v>
      </c>
      <c r="L159" s="334" t="str">
        <f t="shared" si="60"/>
        <v>OK</v>
      </c>
      <c r="M159" s="334" t="str">
        <f t="shared" si="60"/>
        <v>OK</v>
      </c>
      <c r="N159" s="334" t="str">
        <f t="shared" si="60"/>
        <v>OK</v>
      </c>
      <c r="O159" s="334" t="str">
        <f t="shared" si="60"/>
        <v>OK</v>
      </c>
      <c r="P159" s="334" t="str">
        <f t="shared" si="60"/>
        <v>OK</v>
      </c>
      <c r="Q159" s="334" t="str">
        <f t="shared" si="60"/>
        <v>OK</v>
      </c>
      <c r="R159" s="334" t="str">
        <f t="shared" si="60"/>
        <v>OK</v>
      </c>
      <c r="S159" s="334" t="str">
        <f t="shared" si="60"/>
        <v>OK</v>
      </c>
      <c r="T159" s="334" t="str">
        <f t="shared" si="60"/>
        <v>OK</v>
      </c>
      <c r="U159" s="334" t="e">
        <f t="shared" si="60"/>
        <v>#REF!</v>
      </c>
      <c r="V159" s="334" t="e">
        <f t="shared" si="60"/>
        <v>#REF!</v>
      </c>
      <c r="W159" s="334" t="e">
        <f t="shared" si="60"/>
        <v>#REF!</v>
      </c>
      <c r="X159" s="334" t="e">
        <f t="shared" si="60"/>
        <v>#REF!</v>
      </c>
      <c r="Y159" s="334" t="e">
        <f t="shared" si="60"/>
        <v>#REF!</v>
      </c>
      <c r="Z159" s="334" t="e">
        <f t="shared" si="60"/>
        <v>#REF!</v>
      </c>
      <c r="AA159" s="334" t="e">
        <f t="shared" si="60"/>
        <v>#REF!</v>
      </c>
      <c r="AB159" s="334" t="e">
        <f t="shared" si="60"/>
        <v>#REF!</v>
      </c>
      <c r="AC159" s="334" t="e">
        <f t="shared" si="60"/>
        <v>#REF!</v>
      </c>
      <c r="AD159" s="334" t="e">
        <f t="shared" si="60"/>
        <v>#REF!</v>
      </c>
      <c r="AE159" s="334" t="e">
        <f t="shared" si="60"/>
        <v>#REF!</v>
      </c>
      <c r="AF159" s="334" t="e">
        <f t="shared" si="60"/>
        <v>#REF!</v>
      </c>
      <c r="AG159" s="334" t="e">
        <f t="shared" si="60"/>
        <v>#REF!</v>
      </c>
      <c r="AH159" s="334" t="e">
        <f t="shared" si="60"/>
        <v>#REF!</v>
      </c>
      <c r="AI159" s="334" t="e">
        <f t="shared" si="60"/>
        <v>#REF!</v>
      </c>
      <c r="AJ159" s="334" t="e">
        <f t="shared" si="60"/>
        <v>#REF!</v>
      </c>
      <c r="AK159" s="334" t="e">
        <f t="shared" si="60"/>
        <v>#REF!</v>
      </c>
      <c r="AL159" s="335" t="e">
        <f t="shared" si="60"/>
        <v>#REF!</v>
      </c>
    </row>
    <row r="160" spans="1:38" s="78" customFormat="1" ht="14.25" outlineLevel="2">
      <c r="A160" s="374"/>
      <c r="B160" s="365"/>
      <c r="C160" s="366" t="s">
        <v>320</v>
      </c>
      <c r="D160" s="82" t="s">
        <v>371</v>
      </c>
      <c r="E160" s="406" t="s">
        <v>31</v>
      </c>
      <c r="F160" s="407" t="s">
        <v>31</v>
      </c>
      <c r="G160" s="407" t="s">
        <v>31</v>
      </c>
      <c r="H160" s="408" t="s">
        <v>31</v>
      </c>
      <c r="I160" s="341" t="str">
        <f aca="true" t="shared" si="61" ref="I160:AL160">IF(I35&gt;=I36,"OK","BŁĄD")</f>
        <v>OK</v>
      </c>
      <c r="J160" s="334" t="str">
        <f t="shared" si="61"/>
        <v>OK</v>
      </c>
      <c r="K160" s="334" t="str">
        <f t="shared" si="61"/>
        <v>OK</v>
      </c>
      <c r="L160" s="334" t="str">
        <f t="shared" si="61"/>
        <v>OK</v>
      </c>
      <c r="M160" s="334" t="str">
        <f t="shared" si="61"/>
        <v>OK</v>
      </c>
      <c r="N160" s="334" t="str">
        <f t="shared" si="61"/>
        <v>OK</v>
      </c>
      <c r="O160" s="334" t="str">
        <f t="shared" si="61"/>
        <v>OK</v>
      </c>
      <c r="P160" s="334" t="str">
        <f t="shared" si="61"/>
        <v>OK</v>
      </c>
      <c r="Q160" s="334" t="str">
        <f t="shared" si="61"/>
        <v>OK</v>
      </c>
      <c r="R160" s="334" t="str">
        <f t="shared" si="61"/>
        <v>OK</v>
      </c>
      <c r="S160" s="334" t="str">
        <f t="shared" si="61"/>
        <v>OK</v>
      </c>
      <c r="T160" s="334" t="str">
        <f t="shared" si="61"/>
        <v>OK</v>
      </c>
      <c r="U160" s="334" t="e">
        <f t="shared" si="61"/>
        <v>#REF!</v>
      </c>
      <c r="V160" s="334" t="e">
        <f t="shared" si="61"/>
        <v>#REF!</v>
      </c>
      <c r="W160" s="334" t="e">
        <f t="shared" si="61"/>
        <v>#REF!</v>
      </c>
      <c r="X160" s="334" t="e">
        <f t="shared" si="61"/>
        <v>#REF!</v>
      </c>
      <c r="Y160" s="334" t="e">
        <f t="shared" si="61"/>
        <v>#REF!</v>
      </c>
      <c r="Z160" s="334" t="e">
        <f t="shared" si="61"/>
        <v>#REF!</v>
      </c>
      <c r="AA160" s="334" t="e">
        <f t="shared" si="61"/>
        <v>#REF!</v>
      </c>
      <c r="AB160" s="334" t="e">
        <f t="shared" si="61"/>
        <v>#REF!</v>
      </c>
      <c r="AC160" s="334" t="e">
        <f t="shared" si="61"/>
        <v>#REF!</v>
      </c>
      <c r="AD160" s="334" t="e">
        <f t="shared" si="61"/>
        <v>#REF!</v>
      </c>
      <c r="AE160" s="334" t="e">
        <f t="shared" si="61"/>
        <v>#REF!</v>
      </c>
      <c r="AF160" s="334" t="e">
        <f t="shared" si="61"/>
        <v>#REF!</v>
      </c>
      <c r="AG160" s="334" t="e">
        <f t="shared" si="61"/>
        <v>#REF!</v>
      </c>
      <c r="AH160" s="334" t="e">
        <f t="shared" si="61"/>
        <v>#REF!</v>
      </c>
      <c r="AI160" s="334" t="e">
        <f t="shared" si="61"/>
        <v>#REF!</v>
      </c>
      <c r="AJ160" s="334" t="e">
        <f t="shared" si="61"/>
        <v>#REF!</v>
      </c>
      <c r="AK160" s="334" t="e">
        <f t="shared" si="61"/>
        <v>#REF!</v>
      </c>
      <c r="AL160" s="335" t="e">
        <f t="shared" si="61"/>
        <v>#REF!</v>
      </c>
    </row>
    <row r="161" spans="1:38" s="78" customFormat="1" ht="14.25" outlineLevel="2">
      <c r="A161" s="374"/>
      <c r="B161" s="365"/>
      <c r="C161" s="366" t="s">
        <v>321</v>
      </c>
      <c r="D161" s="82" t="s">
        <v>372</v>
      </c>
      <c r="E161" s="406" t="s">
        <v>31</v>
      </c>
      <c r="F161" s="407" t="s">
        <v>31</v>
      </c>
      <c r="G161" s="407" t="s">
        <v>31</v>
      </c>
      <c r="H161" s="408" t="s">
        <v>31</v>
      </c>
      <c r="I161" s="341" t="str">
        <f aca="true" t="shared" si="62" ref="I161:AL161">IF(I37&gt;=I38,"OK","BŁĄD")</f>
        <v>OK</v>
      </c>
      <c r="J161" s="334" t="str">
        <f t="shared" si="62"/>
        <v>OK</v>
      </c>
      <c r="K161" s="334" t="str">
        <f t="shared" si="62"/>
        <v>OK</v>
      </c>
      <c r="L161" s="334" t="str">
        <f t="shared" si="62"/>
        <v>OK</v>
      </c>
      <c r="M161" s="334" t="str">
        <f t="shared" si="62"/>
        <v>OK</v>
      </c>
      <c r="N161" s="334" t="str">
        <f t="shared" si="62"/>
        <v>OK</v>
      </c>
      <c r="O161" s="334" t="str">
        <f t="shared" si="62"/>
        <v>OK</v>
      </c>
      <c r="P161" s="334" t="str">
        <f t="shared" si="62"/>
        <v>OK</v>
      </c>
      <c r="Q161" s="334" t="str">
        <f t="shared" si="62"/>
        <v>OK</v>
      </c>
      <c r="R161" s="334" t="str">
        <f t="shared" si="62"/>
        <v>OK</v>
      </c>
      <c r="S161" s="334" t="str">
        <f t="shared" si="62"/>
        <v>OK</v>
      </c>
      <c r="T161" s="334" t="str">
        <f t="shared" si="62"/>
        <v>OK</v>
      </c>
      <c r="U161" s="334" t="e">
        <f t="shared" si="62"/>
        <v>#REF!</v>
      </c>
      <c r="V161" s="334" t="e">
        <f t="shared" si="62"/>
        <v>#REF!</v>
      </c>
      <c r="W161" s="334" t="e">
        <f t="shared" si="62"/>
        <v>#REF!</v>
      </c>
      <c r="X161" s="334" t="e">
        <f t="shared" si="62"/>
        <v>#REF!</v>
      </c>
      <c r="Y161" s="334" t="e">
        <f t="shared" si="62"/>
        <v>#REF!</v>
      </c>
      <c r="Z161" s="334" t="e">
        <f t="shared" si="62"/>
        <v>#REF!</v>
      </c>
      <c r="AA161" s="334" t="e">
        <f t="shared" si="62"/>
        <v>#REF!</v>
      </c>
      <c r="AB161" s="334" t="e">
        <f t="shared" si="62"/>
        <v>#REF!</v>
      </c>
      <c r="AC161" s="334" t="e">
        <f t="shared" si="62"/>
        <v>#REF!</v>
      </c>
      <c r="AD161" s="334" t="e">
        <f t="shared" si="62"/>
        <v>#REF!</v>
      </c>
      <c r="AE161" s="334" t="e">
        <f t="shared" si="62"/>
        <v>#REF!</v>
      </c>
      <c r="AF161" s="334" t="e">
        <f t="shared" si="62"/>
        <v>#REF!</v>
      </c>
      <c r="AG161" s="334" t="e">
        <f t="shared" si="62"/>
        <v>#REF!</v>
      </c>
      <c r="AH161" s="334" t="e">
        <f t="shared" si="62"/>
        <v>#REF!</v>
      </c>
      <c r="AI161" s="334" t="e">
        <f t="shared" si="62"/>
        <v>#REF!</v>
      </c>
      <c r="AJ161" s="334" t="e">
        <f t="shared" si="62"/>
        <v>#REF!</v>
      </c>
      <c r="AK161" s="334" t="e">
        <f t="shared" si="62"/>
        <v>#REF!</v>
      </c>
      <c r="AL161" s="335" t="e">
        <f t="shared" si="62"/>
        <v>#REF!</v>
      </c>
    </row>
    <row r="162" spans="1:38" s="78" customFormat="1" ht="14.25" outlineLevel="2">
      <c r="A162" s="374"/>
      <c r="B162" s="365"/>
      <c r="C162" s="366" t="s">
        <v>325</v>
      </c>
      <c r="D162" s="82" t="s">
        <v>376</v>
      </c>
      <c r="E162" s="406" t="s">
        <v>31</v>
      </c>
      <c r="F162" s="407" t="s">
        <v>31</v>
      </c>
      <c r="G162" s="407" t="s">
        <v>31</v>
      </c>
      <c r="H162" s="408" t="s">
        <v>31</v>
      </c>
      <c r="I162" s="341" t="str">
        <f aca="true" t="shared" si="63" ref="I162:AL163">IF(I40&gt;=I41,"OK","BŁĄD")</f>
        <v>OK</v>
      </c>
      <c r="J162" s="334" t="str">
        <f t="shared" si="63"/>
        <v>OK</v>
      </c>
      <c r="K162" s="334" t="str">
        <f t="shared" si="63"/>
        <v>OK</v>
      </c>
      <c r="L162" s="334" t="str">
        <f t="shared" si="63"/>
        <v>OK</v>
      </c>
      <c r="M162" s="334" t="str">
        <f t="shared" si="63"/>
        <v>OK</v>
      </c>
      <c r="N162" s="334" t="str">
        <f t="shared" si="63"/>
        <v>OK</v>
      </c>
      <c r="O162" s="334" t="str">
        <f t="shared" si="63"/>
        <v>OK</v>
      </c>
      <c r="P162" s="334" t="str">
        <f t="shared" si="63"/>
        <v>OK</v>
      </c>
      <c r="Q162" s="334" t="str">
        <f t="shared" si="63"/>
        <v>OK</v>
      </c>
      <c r="R162" s="334" t="str">
        <f t="shared" si="63"/>
        <v>OK</v>
      </c>
      <c r="S162" s="334" t="str">
        <f t="shared" si="63"/>
        <v>OK</v>
      </c>
      <c r="T162" s="334" t="str">
        <f t="shared" si="63"/>
        <v>OK</v>
      </c>
      <c r="U162" s="334" t="e">
        <f t="shared" si="63"/>
        <v>#REF!</v>
      </c>
      <c r="V162" s="334" t="e">
        <f t="shared" si="63"/>
        <v>#REF!</v>
      </c>
      <c r="W162" s="334" t="e">
        <f t="shared" si="63"/>
        <v>#REF!</v>
      </c>
      <c r="X162" s="334" t="e">
        <f t="shared" si="63"/>
        <v>#REF!</v>
      </c>
      <c r="Y162" s="334" t="e">
        <f t="shared" si="63"/>
        <v>#REF!</v>
      </c>
      <c r="Z162" s="334" t="e">
        <f t="shared" si="63"/>
        <v>#REF!</v>
      </c>
      <c r="AA162" s="334" t="e">
        <f t="shared" si="63"/>
        <v>#REF!</v>
      </c>
      <c r="AB162" s="334" t="e">
        <f t="shared" si="63"/>
        <v>#REF!</v>
      </c>
      <c r="AC162" s="334" t="e">
        <f t="shared" si="63"/>
        <v>#REF!</v>
      </c>
      <c r="AD162" s="334" t="e">
        <f t="shared" si="63"/>
        <v>#REF!</v>
      </c>
      <c r="AE162" s="334" t="e">
        <f t="shared" si="63"/>
        <v>#REF!</v>
      </c>
      <c r="AF162" s="334" t="e">
        <f t="shared" si="63"/>
        <v>#REF!</v>
      </c>
      <c r="AG162" s="334" t="e">
        <f t="shared" si="63"/>
        <v>#REF!</v>
      </c>
      <c r="AH162" s="334" t="e">
        <f t="shared" si="63"/>
        <v>#REF!</v>
      </c>
      <c r="AI162" s="334" t="e">
        <f t="shared" si="63"/>
        <v>#REF!</v>
      </c>
      <c r="AJ162" s="334" t="e">
        <f t="shared" si="63"/>
        <v>#REF!</v>
      </c>
      <c r="AK162" s="334" t="e">
        <f t="shared" si="63"/>
        <v>#REF!</v>
      </c>
      <c r="AL162" s="335" t="e">
        <f t="shared" si="63"/>
        <v>#REF!</v>
      </c>
    </row>
    <row r="163" spans="1:38" s="78" customFormat="1" ht="14.25" outlineLevel="2">
      <c r="A163" s="374"/>
      <c r="B163" s="365"/>
      <c r="C163" s="366" t="s">
        <v>322</v>
      </c>
      <c r="D163" s="82" t="s">
        <v>373</v>
      </c>
      <c r="E163" s="406" t="s">
        <v>31</v>
      </c>
      <c r="F163" s="407" t="s">
        <v>31</v>
      </c>
      <c r="G163" s="407" t="s">
        <v>31</v>
      </c>
      <c r="H163" s="408" t="s">
        <v>31</v>
      </c>
      <c r="I163" s="341" t="str">
        <f t="shared" si="63"/>
        <v>OK</v>
      </c>
      <c r="J163" s="334" t="str">
        <f t="shared" si="63"/>
        <v>OK</v>
      </c>
      <c r="K163" s="334" t="str">
        <f t="shared" si="63"/>
        <v>OK</v>
      </c>
      <c r="L163" s="334" t="str">
        <f t="shared" si="63"/>
        <v>OK</v>
      </c>
      <c r="M163" s="334" t="str">
        <f t="shared" si="63"/>
        <v>OK</v>
      </c>
      <c r="N163" s="334" t="str">
        <f t="shared" si="63"/>
        <v>OK</v>
      </c>
      <c r="O163" s="334" t="str">
        <f t="shared" si="63"/>
        <v>OK</v>
      </c>
      <c r="P163" s="334" t="str">
        <f t="shared" si="63"/>
        <v>OK</v>
      </c>
      <c r="Q163" s="334" t="str">
        <f t="shared" si="63"/>
        <v>OK</v>
      </c>
      <c r="R163" s="334" t="str">
        <f t="shared" si="63"/>
        <v>OK</v>
      </c>
      <c r="S163" s="334" t="str">
        <f t="shared" si="63"/>
        <v>OK</v>
      </c>
      <c r="T163" s="334" t="str">
        <f t="shared" si="63"/>
        <v>OK</v>
      </c>
      <c r="U163" s="334" t="e">
        <f t="shared" si="63"/>
        <v>#REF!</v>
      </c>
      <c r="V163" s="334" t="e">
        <f t="shared" si="63"/>
        <v>#REF!</v>
      </c>
      <c r="W163" s="334" t="e">
        <f t="shared" si="63"/>
        <v>#REF!</v>
      </c>
      <c r="X163" s="334" t="e">
        <f t="shared" si="63"/>
        <v>#REF!</v>
      </c>
      <c r="Y163" s="334" t="e">
        <f t="shared" si="63"/>
        <v>#REF!</v>
      </c>
      <c r="Z163" s="334" t="e">
        <f t="shared" si="63"/>
        <v>#REF!</v>
      </c>
      <c r="AA163" s="334" t="e">
        <f t="shared" si="63"/>
        <v>#REF!</v>
      </c>
      <c r="AB163" s="334" t="e">
        <f t="shared" si="63"/>
        <v>#REF!</v>
      </c>
      <c r="AC163" s="334" t="e">
        <f t="shared" si="63"/>
        <v>#REF!</v>
      </c>
      <c r="AD163" s="334" t="e">
        <f t="shared" si="63"/>
        <v>#REF!</v>
      </c>
      <c r="AE163" s="334" t="e">
        <f t="shared" si="63"/>
        <v>#REF!</v>
      </c>
      <c r="AF163" s="334" t="e">
        <f t="shared" si="63"/>
        <v>#REF!</v>
      </c>
      <c r="AG163" s="334" t="e">
        <f t="shared" si="63"/>
        <v>#REF!</v>
      </c>
      <c r="AH163" s="334" t="e">
        <f t="shared" si="63"/>
        <v>#REF!</v>
      </c>
      <c r="AI163" s="334" t="e">
        <f t="shared" si="63"/>
        <v>#REF!</v>
      </c>
      <c r="AJ163" s="334" t="e">
        <f t="shared" si="63"/>
        <v>#REF!</v>
      </c>
      <c r="AK163" s="334" t="e">
        <f t="shared" si="63"/>
        <v>#REF!</v>
      </c>
      <c r="AL163" s="335" t="e">
        <f t="shared" si="63"/>
        <v>#REF!</v>
      </c>
    </row>
    <row r="164" spans="1:38" s="78" customFormat="1" ht="14.25" outlineLevel="2">
      <c r="A164" s="374"/>
      <c r="B164" s="365"/>
      <c r="C164" s="366" t="s">
        <v>323</v>
      </c>
      <c r="D164" s="82" t="s">
        <v>374</v>
      </c>
      <c r="E164" s="406" t="s">
        <v>31</v>
      </c>
      <c r="F164" s="407" t="s">
        <v>31</v>
      </c>
      <c r="G164" s="407" t="s">
        <v>31</v>
      </c>
      <c r="H164" s="408" t="s">
        <v>31</v>
      </c>
      <c r="I164" s="341" t="str">
        <f aca="true" t="shared" si="64" ref="I164:AL164">IF(I40&gt;=I66,"OK","BŁĄD")</f>
        <v>OK</v>
      </c>
      <c r="J164" s="334" t="str">
        <f t="shared" si="64"/>
        <v>OK</v>
      </c>
      <c r="K164" s="334" t="str">
        <f t="shared" si="64"/>
        <v>OK</v>
      </c>
      <c r="L164" s="334" t="str">
        <f t="shared" si="64"/>
        <v>OK</v>
      </c>
      <c r="M164" s="334" t="str">
        <f t="shared" si="64"/>
        <v>OK</v>
      </c>
      <c r="N164" s="334" t="str">
        <f t="shared" si="64"/>
        <v>OK</v>
      </c>
      <c r="O164" s="334" t="str">
        <f t="shared" si="64"/>
        <v>OK</v>
      </c>
      <c r="P164" s="334" t="str">
        <f t="shared" si="64"/>
        <v>OK</v>
      </c>
      <c r="Q164" s="334" t="str">
        <f t="shared" si="64"/>
        <v>OK</v>
      </c>
      <c r="R164" s="334" t="str">
        <f t="shared" si="64"/>
        <v>OK</v>
      </c>
      <c r="S164" s="334" t="str">
        <f t="shared" si="64"/>
        <v>OK</v>
      </c>
      <c r="T164" s="334" t="str">
        <f t="shared" si="64"/>
        <v>OK</v>
      </c>
      <c r="U164" s="334" t="e">
        <f t="shared" si="64"/>
        <v>#REF!</v>
      </c>
      <c r="V164" s="334" t="e">
        <f t="shared" si="64"/>
        <v>#REF!</v>
      </c>
      <c r="W164" s="334" t="e">
        <f t="shared" si="64"/>
        <v>#REF!</v>
      </c>
      <c r="X164" s="334" t="e">
        <f t="shared" si="64"/>
        <v>#REF!</v>
      </c>
      <c r="Y164" s="334" t="e">
        <f t="shared" si="64"/>
        <v>#REF!</v>
      </c>
      <c r="Z164" s="334" t="e">
        <f t="shared" si="64"/>
        <v>#REF!</v>
      </c>
      <c r="AA164" s="334" t="e">
        <f t="shared" si="64"/>
        <v>#REF!</v>
      </c>
      <c r="AB164" s="334" t="e">
        <f t="shared" si="64"/>
        <v>#REF!</v>
      </c>
      <c r="AC164" s="334" t="e">
        <f t="shared" si="64"/>
        <v>#REF!</v>
      </c>
      <c r="AD164" s="334" t="e">
        <f t="shared" si="64"/>
        <v>#REF!</v>
      </c>
      <c r="AE164" s="334" t="e">
        <f t="shared" si="64"/>
        <v>#REF!</v>
      </c>
      <c r="AF164" s="334" t="e">
        <f t="shared" si="64"/>
        <v>#REF!</v>
      </c>
      <c r="AG164" s="334" t="e">
        <f t="shared" si="64"/>
        <v>#REF!</v>
      </c>
      <c r="AH164" s="334" t="e">
        <f t="shared" si="64"/>
        <v>#REF!</v>
      </c>
      <c r="AI164" s="334" t="e">
        <f t="shared" si="64"/>
        <v>#REF!</v>
      </c>
      <c r="AJ164" s="334" t="e">
        <f t="shared" si="64"/>
        <v>#REF!</v>
      </c>
      <c r="AK164" s="334" t="e">
        <f t="shared" si="64"/>
        <v>#REF!</v>
      </c>
      <c r="AL164" s="335" t="e">
        <f t="shared" si="64"/>
        <v>#REF!</v>
      </c>
    </row>
    <row r="165" spans="1:38" s="78" customFormat="1" ht="14.25" outlineLevel="2">
      <c r="A165" s="374"/>
      <c r="B165" s="365"/>
      <c r="C165" s="366" t="s">
        <v>324</v>
      </c>
      <c r="D165" s="82" t="s">
        <v>375</v>
      </c>
      <c r="E165" s="406" t="s">
        <v>31</v>
      </c>
      <c r="F165" s="407" t="s">
        <v>31</v>
      </c>
      <c r="G165" s="407" t="s">
        <v>31</v>
      </c>
      <c r="H165" s="408" t="s">
        <v>31</v>
      </c>
      <c r="I165" s="341" t="str">
        <f aca="true" t="shared" si="65" ref="I165:AL165">IF(I40&gt;=I98,"OK","BŁĄD")</f>
        <v>OK</v>
      </c>
      <c r="J165" s="334" t="str">
        <f t="shared" si="65"/>
        <v>OK</v>
      </c>
      <c r="K165" s="334" t="str">
        <f t="shared" si="65"/>
        <v>OK</v>
      </c>
      <c r="L165" s="334" t="str">
        <f t="shared" si="65"/>
        <v>OK</v>
      </c>
      <c r="M165" s="334" t="str">
        <f t="shared" si="65"/>
        <v>OK</v>
      </c>
      <c r="N165" s="334" t="str">
        <f t="shared" si="65"/>
        <v>OK</v>
      </c>
      <c r="O165" s="334" t="str">
        <f t="shared" si="65"/>
        <v>OK</v>
      </c>
      <c r="P165" s="334" t="str">
        <f t="shared" si="65"/>
        <v>OK</v>
      </c>
      <c r="Q165" s="334" t="str">
        <f t="shared" si="65"/>
        <v>OK</v>
      </c>
      <c r="R165" s="334" t="str">
        <f t="shared" si="65"/>
        <v>OK</v>
      </c>
      <c r="S165" s="334" t="str">
        <f t="shared" si="65"/>
        <v>OK</v>
      </c>
      <c r="T165" s="334" t="str">
        <f t="shared" si="65"/>
        <v>OK</v>
      </c>
      <c r="U165" s="334" t="e">
        <f t="shared" si="65"/>
        <v>#REF!</v>
      </c>
      <c r="V165" s="334" t="e">
        <f t="shared" si="65"/>
        <v>#REF!</v>
      </c>
      <c r="W165" s="334" t="e">
        <f t="shared" si="65"/>
        <v>#REF!</v>
      </c>
      <c r="X165" s="334" t="e">
        <f t="shared" si="65"/>
        <v>#REF!</v>
      </c>
      <c r="Y165" s="334" t="e">
        <f t="shared" si="65"/>
        <v>#REF!</v>
      </c>
      <c r="Z165" s="334" t="e">
        <f t="shared" si="65"/>
        <v>#REF!</v>
      </c>
      <c r="AA165" s="334" t="e">
        <f t="shared" si="65"/>
        <v>#REF!</v>
      </c>
      <c r="AB165" s="334" t="e">
        <f t="shared" si="65"/>
        <v>#REF!</v>
      </c>
      <c r="AC165" s="334" t="e">
        <f t="shared" si="65"/>
        <v>#REF!</v>
      </c>
      <c r="AD165" s="334" t="e">
        <f t="shared" si="65"/>
        <v>#REF!</v>
      </c>
      <c r="AE165" s="334" t="e">
        <f t="shared" si="65"/>
        <v>#REF!</v>
      </c>
      <c r="AF165" s="334" t="e">
        <f t="shared" si="65"/>
        <v>#REF!</v>
      </c>
      <c r="AG165" s="334" t="e">
        <f t="shared" si="65"/>
        <v>#REF!</v>
      </c>
      <c r="AH165" s="334" t="e">
        <f t="shared" si="65"/>
        <v>#REF!</v>
      </c>
      <c r="AI165" s="334" t="e">
        <f t="shared" si="65"/>
        <v>#REF!</v>
      </c>
      <c r="AJ165" s="334" t="e">
        <f t="shared" si="65"/>
        <v>#REF!</v>
      </c>
      <c r="AK165" s="334" t="e">
        <f t="shared" si="65"/>
        <v>#REF!</v>
      </c>
      <c r="AL165" s="335" t="e">
        <f t="shared" si="65"/>
        <v>#REF!</v>
      </c>
    </row>
    <row r="166" spans="1:38" s="78" customFormat="1" ht="14.25" outlineLevel="2">
      <c r="A166" s="374"/>
      <c r="B166" s="365"/>
      <c r="C166" s="366" t="s">
        <v>328</v>
      </c>
      <c r="D166" s="82" t="s">
        <v>379</v>
      </c>
      <c r="E166" s="406" t="s">
        <v>31</v>
      </c>
      <c r="F166" s="407" t="s">
        <v>31</v>
      </c>
      <c r="G166" s="407" t="s">
        <v>31</v>
      </c>
      <c r="H166" s="408" t="s">
        <v>31</v>
      </c>
      <c r="I166" s="341" t="str">
        <f aca="true" t="shared" si="66" ref="I166:AL166">IF(I44&gt;=I45,"OK","BŁĄD")</f>
        <v>OK</v>
      </c>
      <c r="J166" s="334" t="str">
        <f t="shared" si="66"/>
        <v>OK</v>
      </c>
      <c r="K166" s="334" t="str">
        <f t="shared" si="66"/>
        <v>OK</v>
      </c>
      <c r="L166" s="334" t="str">
        <f t="shared" si="66"/>
        <v>OK</v>
      </c>
      <c r="M166" s="334" t="str">
        <f t="shared" si="66"/>
        <v>OK</v>
      </c>
      <c r="N166" s="334" t="str">
        <f t="shared" si="66"/>
        <v>OK</v>
      </c>
      <c r="O166" s="334" t="str">
        <f t="shared" si="66"/>
        <v>OK</v>
      </c>
      <c r="P166" s="334" t="str">
        <f t="shared" si="66"/>
        <v>OK</v>
      </c>
      <c r="Q166" s="334" t="str">
        <f t="shared" si="66"/>
        <v>OK</v>
      </c>
      <c r="R166" s="334" t="str">
        <f t="shared" si="66"/>
        <v>OK</v>
      </c>
      <c r="S166" s="334" t="str">
        <f t="shared" si="66"/>
        <v>OK</v>
      </c>
      <c r="T166" s="334" t="str">
        <f t="shared" si="66"/>
        <v>OK</v>
      </c>
      <c r="U166" s="334" t="e">
        <f t="shared" si="66"/>
        <v>#REF!</v>
      </c>
      <c r="V166" s="334" t="e">
        <f t="shared" si="66"/>
        <v>#REF!</v>
      </c>
      <c r="W166" s="334" t="e">
        <f t="shared" si="66"/>
        <v>#REF!</v>
      </c>
      <c r="X166" s="334" t="e">
        <f t="shared" si="66"/>
        <v>#REF!</v>
      </c>
      <c r="Y166" s="334" t="e">
        <f t="shared" si="66"/>
        <v>#REF!</v>
      </c>
      <c r="Z166" s="334" t="e">
        <f t="shared" si="66"/>
        <v>#REF!</v>
      </c>
      <c r="AA166" s="334" t="e">
        <f t="shared" si="66"/>
        <v>#REF!</v>
      </c>
      <c r="AB166" s="334" t="e">
        <f t="shared" si="66"/>
        <v>#REF!</v>
      </c>
      <c r="AC166" s="334" t="e">
        <f t="shared" si="66"/>
        <v>#REF!</v>
      </c>
      <c r="AD166" s="334" t="e">
        <f t="shared" si="66"/>
        <v>#REF!</v>
      </c>
      <c r="AE166" s="334" t="e">
        <f t="shared" si="66"/>
        <v>#REF!</v>
      </c>
      <c r="AF166" s="334" t="e">
        <f t="shared" si="66"/>
        <v>#REF!</v>
      </c>
      <c r="AG166" s="334" t="e">
        <f t="shared" si="66"/>
        <v>#REF!</v>
      </c>
      <c r="AH166" s="334" t="e">
        <f t="shared" si="66"/>
        <v>#REF!</v>
      </c>
      <c r="AI166" s="334" t="e">
        <f t="shared" si="66"/>
        <v>#REF!</v>
      </c>
      <c r="AJ166" s="334" t="e">
        <f t="shared" si="66"/>
        <v>#REF!</v>
      </c>
      <c r="AK166" s="334" t="e">
        <f t="shared" si="66"/>
        <v>#REF!</v>
      </c>
      <c r="AL166" s="335" t="e">
        <f t="shared" si="66"/>
        <v>#REF!</v>
      </c>
    </row>
    <row r="167" spans="1:38" s="78" customFormat="1" ht="14.25" outlineLevel="2">
      <c r="A167" s="374"/>
      <c r="B167" s="365"/>
      <c r="C167" s="366" t="s">
        <v>329</v>
      </c>
      <c r="D167" s="82" t="s">
        <v>380</v>
      </c>
      <c r="E167" s="406" t="s">
        <v>31</v>
      </c>
      <c r="F167" s="407" t="s">
        <v>31</v>
      </c>
      <c r="G167" s="407" t="s">
        <v>31</v>
      </c>
      <c r="H167" s="408" t="s">
        <v>31</v>
      </c>
      <c r="I167" s="341" t="str">
        <f aca="true" t="shared" si="67" ref="I167:AL167">IF(I44&gt;=I49,"OK","BŁĄD")</f>
        <v>OK</v>
      </c>
      <c r="J167" s="334" t="str">
        <f t="shared" si="67"/>
        <v>OK</v>
      </c>
      <c r="K167" s="334" t="str">
        <f t="shared" si="67"/>
        <v>OK</v>
      </c>
      <c r="L167" s="334" t="str">
        <f t="shared" si="67"/>
        <v>OK</v>
      </c>
      <c r="M167" s="334" t="str">
        <f t="shared" si="67"/>
        <v>OK</v>
      </c>
      <c r="N167" s="334" t="str">
        <f t="shared" si="67"/>
        <v>OK</v>
      </c>
      <c r="O167" s="334" t="str">
        <f t="shared" si="67"/>
        <v>OK</v>
      </c>
      <c r="P167" s="334" t="str">
        <f t="shared" si="67"/>
        <v>OK</v>
      </c>
      <c r="Q167" s="334" t="str">
        <f t="shared" si="67"/>
        <v>OK</v>
      </c>
      <c r="R167" s="334" t="str">
        <f t="shared" si="67"/>
        <v>OK</v>
      </c>
      <c r="S167" s="334" t="str">
        <f t="shared" si="67"/>
        <v>OK</v>
      </c>
      <c r="T167" s="334" t="str">
        <f t="shared" si="67"/>
        <v>OK</v>
      </c>
      <c r="U167" s="334" t="e">
        <f t="shared" si="67"/>
        <v>#REF!</v>
      </c>
      <c r="V167" s="334" t="e">
        <f t="shared" si="67"/>
        <v>#REF!</v>
      </c>
      <c r="W167" s="334" t="e">
        <f t="shared" si="67"/>
        <v>#REF!</v>
      </c>
      <c r="X167" s="334" t="e">
        <f t="shared" si="67"/>
        <v>#REF!</v>
      </c>
      <c r="Y167" s="334" t="e">
        <f t="shared" si="67"/>
        <v>#REF!</v>
      </c>
      <c r="Z167" s="334" t="e">
        <f t="shared" si="67"/>
        <v>#REF!</v>
      </c>
      <c r="AA167" s="334" t="e">
        <f t="shared" si="67"/>
        <v>#REF!</v>
      </c>
      <c r="AB167" s="334" t="e">
        <f t="shared" si="67"/>
        <v>#REF!</v>
      </c>
      <c r="AC167" s="334" t="e">
        <f t="shared" si="67"/>
        <v>#REF!</v>
      </c>
      <c r="AD167" s="334" t="e">
        <f t="shared" si="67"/>
        <v>#REF!</v>
      </c>
      <c r="AE167" s="334" t="e">
        <f t="shared" si="67"/>
        <v>#REF!</v>
      </c>
      <c r="AF167" s="334" t="e">
        <f t="shared" si="67"/>
        <v>#REF!</v>
      </c>
      <c r="AG167" s="334" t="e">
        <f t="shared" si="67"/>
        <v>#REF!</v>
      </c>
      <c r="AH167" s="334" t="e">
        <f t="shared" si="67"/>
        <v>#REF!</v>
      </c>
      <c r="AI167" s="334" t="e">
        <f t="shared" si="67"/>
        <v>#REF!</v>
      </c>
      <c r="AJ167" s="334" t="e">
        <f t="shared" si="67"/>
        <v>#REF!</v>
      </c>
      <c r="AK167" s="334" t="e">
        <f t="shared" si="67"/>
        <v>#REF!</v>
      </c>
      <c r="AL167" s="335" t="e">
        <f t="shared" si="67"/>
        <v>#REF!</v>
      </c>
    </row>
    <row r="168" spans="1:38" s="78" customFormat="1" ht="14.25" outlineLevel="2">
      <c r="A168" s="374"/>
      <c r="B168" s="365"/>
      <c r="C168" s="366" t="s">
        <v>327</v>
      </c>
      <c r="D168" s="82" t="s">
        <v>378</v>
      </c>
      <c r="E168" s="406" t="s">
        <v>31</v>
      </c>
      <c r="F168" s="407" t="s">
        <v>31</v>
      </c>
      <c r="G168" s="407" t="s">
        <v>31</v>
      </c>
      <c r="H168" s="408" t="s">
        <v>31</v>
      </c>
      <c r="I168" s="341" t="str">
        <f aca="true" t="shared" si="68" ref="I168:AL168">IF(I44&gt;=I99,"OK","BŁĄD")</f>
        <v>OK</v>
      </c>
      <c r="J168" s="334" t="str">
        <f t="shared" si="68"/>
        <v>OK</v>
      </c>
      <c r="K168" s="334" t="str">
        <f t="shared" si="68"/>
        <v>OK</v>
      </c>
      <c r="L168" s="334" t="str">
        <f t="shared" si="68"/>
        <v>OK</v>
      </c>
      <c r="M168" s="334" t="str">
        <f t="shared" si="68"/>
        <v>OK</v>
      </c>
      <c r="N168" s="334" t="str">
        <f t="shared" si="68"/>
        <v>OK</v>
      </c>
      <c r="O168" s="334" t="str">
        <f t="shared" si="68"/>
        <v>OK</v>
      </c>
      <c r="P168" s="334" t="str">
        <f t="shared" si="68"/>
        <v>OK</v>
      </c>
      <c r="Q168" s="334" t="str">
        <f t="shared" si="68"/>
        <v>OK</v>
      </c>
      <c r="R168" s="334" t="str">
        <f t="shared" si="68"/>
        <v>OK</v>
      </c>
      <c r="S168" s="334" t="str">
        <f t="shared" si="68"/>
        <v>OK</v>
      </c>
      <c r="T168" s="334" t="str">
        <f t="shared" si="68"/>
        <v>OK</v>
      </c>
      <c r="U168" s="334" t="e">
        <f t="shared" si="68"/>
        <v>#REF!</v>
      </c>
      <c r="V168" s="334" t="e">
        <f t="shared" si="68"/>
        <v>#REF!</v>
      </c>
      <c r="W168" s="334" t="e">
        <f t="shared" si="68"/>
        <v>#REF!</v>
      </c>
      <c r="X168" s="334" t="e">
        <f t="shared" si="68"/>
        <v>#REF!</v>
      </c>
      <c r="Y168" s="334" t="e">
        <f t="shared" si="68"/>
        <v>#REF!</v>
      </c>
      <c r="Z168" s="334" t="e">
        <f t="shared" si="68"/>
        <v>#REF!</v>
      </c>
      <c r="AA168" s="334" t="e">
        <f t="shared" si="68"/>
        <v>#REF!</v>
      </c>
      <c r="AB168" s="334" t="e">
        <f t="shared" si="68"/>
        <v>#REF!</v>
      </c>
      <c r="AC168" s="334" t="e">
        <f t="shared" si="68"/>
        <v>#REF!</v>
      </c>
      <c r="AD168" s="334" t="e">
        <f t="shared" si="68"/>
        <v>#REF!</v>
      </c>
      <c r="AE168" s="334" t="e">
        <f t="shared" si="68"/>
        <v>#REF!</v>
      </c>
      <c r="AF168" s="334" t="e">
        <f t="shared" si="68"/>
        <v>#REF!</v>
      </c>
      <c r="AG168" s="334" t="e">
        <f t="shared" si="68"/>
        <v>#REF!</v>
      </c>
      <c r="AH168" s="334" t="e">
        <f t="shared" si="68"/>
        <v>#REF!</v>
      </c>
      <c r="AI168" s="334" t="e">
        <f t="shared" si="68"/>
        <v>#REF!</v>
      </c>
      <c r="AJ168" s="334" t="e">
        <f t="shared" si="68"/>
        <v>#REF!</v>
      </c>
      <c r="AK168" s="334" t="e">
        <f t="shared" si="68"/>
        <v>#REF!</v>
      </c>
      <c r="AL168" s="335" t="e">
        <f t="shared" si="68"/>
        <v>#REF!</v>
      </c>
    </row>
    <row r="169" spans="1:38" s="78" customFormat="1" ht="14.25" outlineLevel="2">
      <c r="A169" s="374"/>
      <c r="B169" s="365"/>
      <c r="C169" s="366" t="s">
        <v>326</v>
      </c>
      <c r="D169" s="82" t="s">
        <v>377</v>
      </c>
      <c r="E169" s="406" t="s">
        <v>31</v>
      </c>
      <c r="F169" s="407" t="s">
        <v>31</v>
      </c>
      <c r="G169" s="407" t="s">
        <v>31</v>
      </c>
      <c r="H169" s="408" t="s">
        <v>31</v>
      </c>
      <c r="I169" s="341" t="str">
        <f aca="true" t="shared" si="69" ref="I169:AL169">+IF(I45&gt;=I46,"OK","BŁĄD")</f>
        <v>OK</v>
      </c>
      <c r="J169" s="334" t="str">
        <f t="shared" si="69"/>
        <v>OK</v>
      </c>
      <c r="K169" s="334" t="str">
        <f t="shared" si="69"/>
        <v>OK</v>
      </c>
      <c r="L169" s="334" t="str">
        <f t="shared" si="69"/>
        <v>OK</v>
      </c>
      <c r="M169" s="334" t="str">
        <f t="shared" si="69"/>
        <v>OK</v>
      </c>
      <c r="N169" s="334" t="str">
        <f t="shared" si="69"/>
        <v>OK</v>
      </c>
      <c r="O169" s="334" t="str">
        <f t="shared" si="69"/>
        <v>OK</v>
      </c>
      <c r="P169" s="334" t="str">
        <f t="shared" si="69"/>
        <v>OK</v>
      </c>
      <c r="Q169" s="334" t="str">
        <f t="shared" si="69"/>
        <v>OK</v>
      </c>
      <c r="R169" s="334" t="str">
        <f t="shared" si="69"/>
        <v>OK</v>
      </c>
      <c r="S169" s="334" t="str">
        <f t="shared" si="69"/>
        <v>OK</v>
      </c>
      <c r="T169" s="334" t="str">
        <f t="shared" si="69"/>
        <v>OK</v>
      </c>
      <c r="U169" s="334" t="e">
        <f t="shared" si="69"/>
        <v>#REF!</v>
      </c>
      <c r="V169" s="334" t="e">
        <f t="shared" si="69"/>
        <v>#REF!</v>
      </c>
      <c r="W169" s="334" t="e">
        <f t="shared" si="69"/>
        <v>#REF!</v>
      </c>
      <c r="X169" s="334" t="e">
        <f t="shared" si="69"/>
        <v>#REF!</v>
      </c>
      <c r="Y169" s="334" t="e">
        <f t="shared" si="69"/>
        <v>#REF!</v>
      </c>
      <c r="Z169" s="334" t="e">
        <f t="shared" si="69"/>
        <v>#REF!</v>
      </c>
      <c r="AA169" s="334" t="e">
        <f t="shared" si="69"/>
        <v>#REF!</v>
      </c>
      <c r="AB169" s="334" t="e">
        <f t="shared" si="69"/>
        <v>#REF!</v>
      </c>
      <c r="AC169" s="334" t="e">
        <f t="shared" si="69"/>
        <v>#REF!</v>
      </c>
      <c r="AD169" s="334" t="e">
        <f t="shared" si="69"/>
        <v>#REF!</v>
      </c>
      <c r="AE169" s="334" t="e">
        <f t="shared" si="69"/>
        <v>#REF!</v>
      </c>
      <c r="AF169" s="334" t="e">
        <f t="shared" si="69"/>
        <v>#REF!</v>
      </c>
      <c r="AG169" s="334" t="e">
        <f t="shared" si="69"/>
        <v>#REF!</v>
      </c>
      <c r="AH169" s="334" t="e">
        <f t="shared" si="69"/>
        <v>#REF!</v>
      </c>
      <c r="AI169" s="334" t="e">
        <f t="shared" si="69"/>
        <v>#REF!</v>
      </c>
      <c r="AJ169" s="334" t="e">
        <f t="shared" si="69"/>
        <v>#REF!</v>
      </c>
      <c r="AK169" s="334" t="e">
        <f t="shared" si="69"/>
        <v>#REF!</v>
      </c>
      <c r="AL169" s="335" t="e">
        <f t="shared" si="69"/>
        <v>#REF!</v>
      </c>
    </row>
    <row r="170" spans="1:38" s="78" customFormat="1" ht="14.25" outlineLevel="2">
      <c r="A170" s="374"/>
      <c r="B170" s="365"/>
      <c r="C170" s="366" t="s">
        <v>330</v>
      </c>
      <c r="D170" s="82" t="s">
        <v>381</v>
      </c>
      <c r="E170" s="406" t="s">
        <v>31</v>
      </c>
      <c r="F170" s="407" t="s">
        <v>31</v>
      </c>
      <c r="G170" s="407" t="s">
        <v>31</v>
      </c>
      <c r="H170" s="408" t="s">
        <v>31</v>
      </c>
      <c r="I170" s="341" t="str">
        <f aca="true" t="shared" si="70" ref="I170:AL170">IF(I49&gt;=I90,"OK","BŁĄD")</f>
        <v>OK</v>
      </c>
      <c r="J170" s="334" t="str">
        <f t="shared" si="70"/>
        <v>OK</v>
      </c>
      <c r="K170" s="334" t="str">
        <f t="shared" si="70"/>
        <v>OK</v>
      </c>
      <c r="L170" s="334" t="str">
        <f t="shared" si="70"/>
        <v>OK</v>
      </c>
      <c r="M170" s="334" t="str">
        <f t="shared" si="70"/>
        <v>OK</v>
      </c>
      <c r="N170" s="334" t="str">
        <f t="shared" si="70"/>
        <v>OK</v>
      </c>
      <c r="O170" s="334" t="str">
        <f t="shared" si="70"/>
        <v>OK</v>
      </c>
      <c r="P170" s="334" t="str">
        <f t="shared" si="70"/>
        <v>OK</v>
      </c>
      <c r="Q170" s="334" t="str">
        <f t="shared" si="70"/>
        <v>OK</v>
      </c>
      <c r="R170" s="334" t="str">
        <f t="shared" si="70"/>
        <v>OK</v>
      </c>
      <c r="S170" s="334" t="str">
        <f t="shared" si="70"/>
        <v>OK</v>
      </c>
      <c r="T170" s="334" t="str">
        <f t="shared" si="70"/>
        <v>OK</v>
      </c>
      <c r="U170" s="334" t="e">
        <f t="shared" si="70"/>
        <v>#REF!</v>
      </c>
      <c r="V170" s="334" t="e">
        <f t="shared" si="70"/>
        <v>#REF!</v>
      </c>
      <c r="W170" s="334" t="e">
        <f t="shared" si="70"/>
        <v>#REF!</v>
      </c>
      <c r="X170" s="334" t="e">
        <f t="shared" si="70"/>
        <v>#REF!</v>
      </c>
      <c r="Y170" s="334" t="e">
        <f t="shared" si="70"/>
        <v>#REF!</v>
      </c>
      <c r="Z170" s="334" t="e">
        <f t="shared" si="70"/>
        <v>#REF!</v>
      </c>
      <c r="AA170" s="334" t="e">
        <f t="shared" si="70"/>
        <v>#REF!</v>
      </c>
      <c r="AB170" s="334" t="e">
        <f t="shared" si="70"/>
        <v>#REF!</v>
      </c>
      <c r="AC170" s="334" t="e">
        <f t="shared" si="70"/>
        <v>#REF!</v>
      </c>
      <c r="AD170" s="334" t="e">
        <f t="shared" si="70"/>
        <v>#REF!</v>
      </c>
      <c r="AE170" s="334" t="e">
        <f t="shared" si="70"/>
        <v>#REF!</v>
      </c>
      <c r="AF170" s="334" t="e">
        <f t="shared" si="70"/>
        <v>#REF!</v>
      </c>
      <c r="AG170" s="334" t="e">
        <f t="shared" si="70"/>
        <v>#REF!</v>
      </c>
      <c r="AH170" s="334" t="e">
        <f t="shared" si="70"/>
        <v>#REF!</v>
      </c>
      <c r="AI170" s="334" t="e">
        <f t="shared" si="70"/>
        <v>#REF!</v>
      </c>
      <c r="AJ170" s="334" t="e">
        <f t="shared" si="70"/>
        <v>#REF!</v>
      </c>
      <c r="AK170" s="334" t="e">
        <f t="shared" si="70"/>
        <v>#REF!</v>
      </c>
      <c r="AL170" s="335" t="e">
        <f t="shared" si="70"/>
        <v>#REF!</v>
      </c>
    </row>
    <row r="171" spans="1:38" s="78" customFormat="1" ht="14.25" outlineLevel="2">
      <c r="A171" s="374"/>
      <c r="B171" s="367"/>
      <c r="C171" s="368" t="s">
        <v>331</v>
      </c>
      <c r="D171" s="83" t="s">
        <v>382</v>
      </c>
      <c r="E171" s="410" t="s">
        <v>31</v>
      </c>
      <c r="F171" s="411" t="s">
        <v>31</v>
      </c>
      <c r="G171" s="411" t="s">
        <v>31</v>
      </c>
      <c r="H171" s="412" t="s">
        <v>31</v>
      </c>
      <c r="I171" s="342" t="str">
        <f aca="true" t="shared" si="71" ref="I171:AL171">IF(I26&lt;&gt;0,IF(I27&lt;&gt;0,"OK","BŁĄD"),"N/D")</f>
        <v>OK</v>
      </c>
      <c r="J171" s="338" t="str">
        <f t="shared" si="71"/>
        <v>OK</v>
      </c>
      <c r="K171" s="338" t="str">
        <f t="shared" si="71"/>
        <v>OK</v>
      </c>
      <c r="L171" s="338" t="str">
        <f t="shared" si="71"/>
        <v>OK</v>
      </c>
      <c r="M171" s="338" t="str">
        <f t="shared" si="71"/>
        <v>OK</v>
      </c>
      <c r="N171" s="338" t="str">
        <f t="shared" si="71"/>
        <v>OK</v>
      </c>
      <c r="O171" s="338" t="str">
        <f t="shared" si="71"/>
        <v>OK</v>
      </c>
      <c r="P171" s="338" t="str">
        <f t="shared" si="71"/>
        <v>OK</v>
      </c>
      <c r="Q171" s="338" t="str">
        <f t="shared" si="71"/>
        <v>OK</v>
      </c>
      <c r="R171" s="338" t="str">
        <f t="shared" si="71"/>
        <v>OK</v>
      </c>
      <c r="S171" s="338" t="str">
        <f t="shared" si="71"/>
        <v>OK</v>
      </c>
      <c r="T171" s="338" t="str">
        <f t="shared" si="71"/>
        <v>OK</v>
      </c>
      <c r="U171" s="338" t="e">
        <f t="shared" si="71"/>
        <v>#REF!</v>
      </c>
      <c r="V171" s="338" t="e">
        <f t="shared" si="71"/>
        <v>#REF!</v>
      </c>
      <c r="W171" s="338" t="e">
        <f t="shared" si="71"/>
        <v>#REF!</v>
      </c>
      <c r="X171" s="338" t="e">
        <f t="shared" si="71"/>
        <v>#REF!</v>
      </c>
      <c r="Y171" s="338" t="e">
        <f t="shared" si="71"/>
        <v>#REF!</v>
      </c>
      <c r="Z171" s="338" t="e">
        <f t="shared" si="71"/>
        <v>#REF!</v>
      </c>
      <c r="AA171" s="338" t="e">
        <f t="shared" si="71"/>
        <v>#REF!</v>
      </c>
      <c r="AB171" s="338" t="e">
        <f t="shared" si="71"/>
        <v>#REF!</v>
      </c>
      <c r="AC171" s="338" t="e">
        <f t="shared" si="71"/>
        <v>#REF!</v>
      </c>
      <c r="AD171" s="338" t="e">
        <f t="shared" si="71"/>
        <v>#REF!</v>
      </c>
      <c r="AE171" s="338" t="e">
        <f t="shared" si="71"/>
        <v>#REF!</v>
      </c>
      <c r="AF171" s="338" t="e">
        <f t="shared" si="71"/>
        <v>#REF!</v>
      </c>
      <c r="AG171" s="338" t="e">
        <f t="shared" si="71"/>
        <v>#REF!</v>
      </c>
      <c r="AH171" s="338" t="e">
        <f t="shared" si="71"/>
        <v>#REF!</v>
      </c>
      <c r="AI171" s="338" t="e">
        <f t="shared" si="71"/>
        <v>#REF!</v>
      </c>
      <c r="AJ171" s="338" t="e">
        <f t="shared" si="71"/>
        <v>#REF!</v>
      </c>
      <c r="AK171" s="338" t="e">
        <f t="shared" si="71"/>
        <v>#REF!</v>
      </c>
      <c r="AL171" s="339" t="e">
        <f t="shared" si="71"/>
        <v>#REF!</v>
      </c>
    </row>
    <row r="172" spans="1:38" s="78" customFormat="1" ht="14.25" outlineLevel="2">
      <c r="A172" s="374"/>
      <c r="B172" s="77"/>
      <c r="C172" s="77"/>
      <c r="D172" s="77"/>
      <c r="E172" s="24"/>
      <c r="F172" s="24"/>
      <c r="G172" s="24"/>
      <c r="H172" s="24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</row>
    <row r="173" spans="1:38" s="78" customFormat="1" ht="14.25" outlineLevel="1">
      <c r="A173" s="374"/>
      <c r="B173" s="77"/>
      <c r="C173" s="77"/>
      <c r="D173" s="305" t="s">
        <v>443</v>
      </c>
      <c r="E173" s="24"/>
      <c r="F173" s="24"/>
      <c r="G173" s="24"/>
      <c r="H173" s="24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</row>
    <row r="174" spans="1:39" s="78" customFormat="1" ht="15" outlineLevel="2">
      <c r="A174" s="374"/>
      <c r="B174" s="175"/>
      <c r="C174" s="175"/>
      <c r="D174" s="176" t="s">
        <v>32</v>
      </c>
      <c r="E174" s="224">
        <f aca="true" t="shared" si="72" ref="E174:AL174">E11+E18</f>
        <v>17694090.439999998</v>
      </c>
      <c r="F174" s="225">
        <f t="shared" si="72"/>
        <v>19338026.07</v>
      </c>
      <c r="G174" s="225">
        <f t="shared" si="72"/>
        <v>25997535</v>
      </c>
      <c r="H174" s="226">
        <f t="shared" si="72"/>
        <v>24644334.580000002</v>
      </c>
      <c r="I174" s="177">
        <f t="shared" si="72"/>
        <v>22025356.34</v>
      </c>
      <c r="J174" s="178">
        <f t="shared" si="72"/>
        <v>19850045</v>
      </c>
      <c r="K174" s="178">
        <f t="shared" si="72"/>
        <v>20979000</v>
      </c>
      <c r="L174" s="178">
        <f t="shared" si="72"/>
        <v>20700000</v>
      </c>
      <c r="M174" s="178">
        <f t="shared" si="72"/>
        <v>21300000</v>
      </c>
      <c r="N174" s="178">
        <f t="shared" si="72"/>
        <v>21900000</v>
      </c>
      <c r="O174" s="178">
        <f t="shared" si="72"/>
        <v>22500000</v>
      </c>
      <c r="P174" s="178">
        <f t="shared" si="72"/>
        <v>23000000</v>
      </c>
      <c r="Q174" s="178">
        <f t="shared" si="72"/>
        <v>23468000</v>
      </c>
      <c r="R174" s="178">
        <f t="shared" si="72"/>
        <v>23937000</v>
      </c>
      <c r="S174" s="178">
        <f t="shared" si="72"/>
        <v>24416000</v>
      </c>
      <c r="T174" s="178">
        <f t="shared" si="72"/>
        <v>24900000</v>
      </c>
      <c r="U174" s="178" t="e">
        <f t="shared" si="72"/>
        <v>#REF!</v>
      </c>
      <c r="V174" s="178" t="e">
        <f t="shared" si="72"/>
        <v>#REF!</v>
      </c>
      <c r="W174" s="178" t="e">
        <f t="shared" si="72"/>
        <v>#REF!</v>
      </c>
      <c r="X174" s="178" t="e">
        <f t="shared" si="72"/>
        <v>#REF!</v>
      </c>
      <c r="Y174" s="178" t="e">
        <f t="shared" si="72"/>
        <v>#REF!</v>
      </c>
      <c r="Z174" s="178" t="e">
        <f t="shared" si="72"/>
        <v>#REF!</v>
      </c>
      <c r="AA174" s="178" t="e">
        <f t="shared" si="72"/>
        <v>#REF!</v>
      </c>
      <c r="AB174" s="178" t="e">
        <f t="shared" si="72"/>
        <v>#REF!</v>
      </c>
      <c r="AC174" s="178" t="e">
        <f t="shared" si="72"/>
        <v>#REF!</v>
      </c>
      <c r="AD174" s="178" t="e">
        <f t="shared" si="72"/>
        <v>#REF!</v>
      </c>
      <c r="AE174" s="178" t="e">
        <f t="shared" si="72"/>
        <v>#REF!</v>
      </c>
      <c r="AF174" s="178" t="e">
        <f t="shared" si="72"/>
        <v>#REF!</v>
      </c>
      <c r="AG174" s="178" t="e">
        <f t="shared" si="72"/>
        <v>#REF!</v>
      </c>
      <c r="AH174" s="178" t="e">
        <f t="shared" si="72"/>
        <v>#REF!</v>
      </c>
      <c r="AI174" s="178" t="e">
        <f t="shared" si="72"/>
        <v>#REF!</v>
      </c>
      <c r="AJ174" s="178" t="e">
        <f t="shared" si="72"/>
        <v>#REF!</v>
      </c>
      <c r="AK174" s="178" t="e">
        <f t="shared" si="72"/>
        <v>#REF!</v>
      </c>
      <c r="AL174" s="179" t="e">
        <f t="shared" si="72"/>
        <v>#REF!</v>
      </c>
      <c r="AM174" s="175"/>
    </row>
    <row r="175" spans="1:39" s="78" customFormat="1" ht="15" outlineLevel="2">
      <c r="A175" s="374"/>
      <c r="B175" s="175"/>
      <c r="C175" s="175"/>
      <c r="D175" s="180" t="s">
        <v>33</v>
      </c>
      <c r="E175" s="227">
        <f aca="true" t="shared" si="73" ref="E175:AL175">E22+E28</f>
        <v>22089749.59</v>
      </c>
      <c r="F175" s="228">
        <f t="shared" si="73"/>
        <v>21767768.689999998</v>
      </c>
      <c r="G175" s="228">
        <f t="shared" si="73"/>
        <v>22390040</v>
      </c>
      <c r="H175" s="229">
        <f t="shared" si="73"/>
        <v>20539963.48</v>
      </c>
      <c r="I175" s="181">
        <f t="shared" si="73"/>
        <v>21687098.34</v>
      </c>
      <c r="J175" s="182">
        <f t="shared" si="73"/>
        <v>19815010</v>
      </c>
      <c r="K175" s="182">
        <f t="shared" si="73"/>
        <v>20604965</v>
      </c>
      <c r="L175" s="182">
        <f t="shared" si="73"/>
        <v>19784865</v>
      </c>
      <c r="M175" s="182">
        <f t="shared" si="73"/>
        <v>20384865</v>
      </c>
      <c r="N175" s="182">
        <f t="shared" si="73"/>
        <v>21034485</v>
      </c>
      <c r="O175" s="182">
        <f t="shared" si="73"/>
        <v>21724449</v>
      </c>
      <c r="P175" s="182">
        <f t="shared" si="73"/>
        <v>22418449</v>
      </c>
      <c r="Q175" s="182">
        <f t="shared" si="73"/>
        <v>22751149</v>
      </c>
      <c r="R175" s="182">
        <f t="shared" si="73"/>
        <v>23220149</v>
      </c>
      <c r="S175" s="182">
        <f t="shared" si="73"/>
        <v>23746549</v>
      </c>
      <c r="T175" s="182">
        <f t="shared" si="73"/>
        <v>24445650</v>
      </c>
      <c r="U175" s="182" t="e">
        <f t="shared" si="73"/>
        <v>#REF!</v>
      </c>
      <c r="V175" s="182" t="e">
        <f t="shared" si="73"/>
        <v>#REF!</v>
      </c>
      <c r="W175" s="182" t="e">
        <f t="shared" si="73"/>
        <v>#REF!</v>
      </c>
      <c r="X175" s="182" t="e">
        <f t="shared" si="73"/>
        <v>#REF!</v>
      </c>
      <c r="Y175" s="182" t="e">
        <f t="shared" si="73"/>
        <v>#REF!</v>
      </c>
      <c r="Z175" s="182" t="e">
        <f t="shared" si="73"/>
        <v>#REF!</v>
      </c>
      <c r="AA175" s="182" t="e">
        <f t="shared" si="73"/>
        <v>#REF!</v>
      </c>
      <c r="AB175" s="182" t="e">
        <f t="shared" si="73"/>
        <v>#REF!</v>
      </c>
      <c r="AC175" s="182" t="e">
        <f t="shared" si="73"/>
        <v>#REF!</v>
      </c>
      <c r="AD175" s="182" t="e">
        <f t="shared" si="73"/>
        <v>#REF!</v>
      </c>
      <c r="AE175" s="182" t="e">
        <f t="shared" si="73"/>
        <v>#REF!</v>
      </c>
      <c r="AF175" s="182" t="e">
        <f t="shared" si="73"/>
        <v>#REF!</v>
      </c>
      <c r="AG175" s="182" t="e">
        <f t="shared" si="73"/>
        <v>#REF!</v>
      </c>
      <c r="AH175" s="182" t="e">
        <f t="shared" si="73"/>
        <v>#REF!</v>
      </c>
      <c r="AI175" s="182" t="e">
        <f t="shared" si="73"/>
        <v>#REF!</v>
      </c>
      <c r="AJ175" s="182" t="e">
        <f t="shared" si="73"/>
        <v>#REF!</v>
      </c>
      <c r="AK175" s="182" t="e">
        <f t="shared" si="73"/>
        <v>#REF!</v>
      </c>
      <c r="AL175" s="183" t="e">
        <f t="shared" si="73"/>
        <v>#REF!</v>
      </c>
      <c r="AM175" s="175"/>
    </row>
    <row r="176" spans="1:39" s="78" customFormat="1" ht="15" outlineLevel="2">
      <c r="A176" s="374"/>
      <c r="B176" s="175"/>
      <c r="C176" s="175"/>
      <c r="D176" s="180" t="s">
        <v>387</v>
      </c>
      <c r="E176" s="227">
        <f aca="true" t="shared" si="74" ref="E176:AL176">E10-E21</f>
        <v>-4395659.1499999985</v>
      </c>
      <c r="F176" s="228">
        <f t="shared" si="74"/>
        <v>-2429742.620000001</v>
      </c>
      <c r="G176" s="228">
        <f t="shared" si="74"/>
        <v>3607495</v>
      </c>
      <c r="H176" s="229">
        <f t="shared" si="74"/>
        <v>4104371.1000000015</v>
      </c>
      <c r="I176" s="181">
        <f t="shared" si="74"/>
        <v>338258</v>
      </c>
      <c r="J176" s="182">
        <f t="shared" si="74"/>
        <v>35035</v>
      </c>
      <c r="K176" s="182">
        <f t="shared" si="74"/>
        <v>374035</v>
      </c>
      <c r="L176" s="182">
        <f t="shared" si="74"/>
        <v>915135</v>
      </c>
      <c r="M176" s="182">
        <f t="shared" si="74"/>
        <v>915135</v>
      </c>
      <c r="N176" s="182">
        <f t="shared" si="74"/>
        <v>865515</v>
      </c>
      <c r="O176" s="182">
        <f t="shared" si="74"/>
        <v>775551</v>
      </c>
      <c r="P176" s="182">
        <f t="shared" si="74"/>
        <v>581551</v>
      </c>
      <c r="Q176" s="182">
        <f t="shared" si="74"/>
        <v>716851</v>
      </c>
      <c r="R176" s="182">
        <f t="shared" si="74"/>
        <v>716851</v>
      </c>
      <c r="S176" s="182">
        <f t="shared" si="74"/>
        <v>669451</v>
      </c>
      <c r="T176" s="182">
        <f t="shared" si="74"/>
        <v>454350</v>
      </c>
      <c r="U176" s="182" t="e">
        <f t="shared" si="74"/>
        <v>#REF!</v>
      </c>
      <c r="V176" s="182" t="e">
        <f t="shared" si="74"/>
        <v>#REF!</v>
      </c>
      <c r="W176" s="182" t="e">
        <f t="shared" si="74"/>
        <v>#REF!</v>
      </c>
      <c r="X176" s="182" t="e">
        <f t="shared" si="74"/>
        <v>#REF!</v>
      </c>
      <c r="Y176" s="182" t="e">
        <f t="shared" si="74"/>
        <v>#REF!</v>
      </c>
      <c r="Z176" s="182" t="e">
        <f t="shared" si="74"/>
        <v>#REF!</v>
      </c>
      <c r="AA176" s="182" t="e">
        <f t="shared" si="74"/>
        <v>#REF!</v>
      </c>
      <c r="AB176" s="182" t="e">
        <f t="shared" si="74"/>
        <v>#REF!</v>
      </c>
      <c r="AC176" s="182" t="e">
        <f t="shared" si="74"/>
        <v>#REF!</v>
      </c>
      <c r="AD176" s="182" t="e">
        <f t="shared" si="74"/>
        <v>#REF!</v>
      </c>
      <c r="AE176" s="182" t="e">
        <f t="shared" si="74"/>
        <v>#REF!</v>
      </c>
      <c r="AF176" s="182" t="e">
        <f t="shared" si="74"/>
        <v>#REF!</v>
      </c>
      <c r="AG176" s="182" t="e">
        <f t="shared" si="74"/>
        <v>#REF!</v>
      </c>
      <c r="AH176" s="182" t="e">
        <f t="shared" si="74"/>
        <v>#REF!</v>
      </c>
      <c r="AI176" s="182" t="e">
        <f t="shared" si="74"/>
        <v>#REF!</v>
      </c>
      <c r="AJ176" s="182" t="e">
        <f t="shared" si="74"/>
        <v>#REF!</v>
      </c>
      <c r="AK176" s="182" t="e">
        <f t="shared" si="74"/>
        <v>#REF!</v>
      </c>
      <c r="AL176" s="183" t="e">
        <f t="shared" si="74"/>
        <v>#REF!</v>
      </c>
      <c r="AM176" s="175"/>
    </row>
    <row r="177" spans="1:39" s="78" customFormat="1" ht="15" outlineLevel="2">
      <c r="A177" s="374"/>
      <c r="B177" s="175"/>
      <c r="C177" s="175"/>
      <c r="D177" s="184" t="s">
        <v>388</v>
      </c>
      <c r="E177" s="373" t="s">
        <v>31</v>
      </c>
      <c r="F177" s="228">
        <f>E44+F35-F40+(F99-E99)+F104</f>
        <v>12551075.579999998</v>
      </c>
      <c r="G177" s="413" t="s">
        <v>31</v>
      </c>
      <c r="H177" s="229">
        <f>F44+H35-H40+(H99-F99)+H104</f>
        <v>7854595.09</v>
      </c>
      <c r="I177" s="181">
        <f aca="true" t="shared" si="75" ref="I177:AL177">H44+I35-I40+(I99-H99)+I104</f>
        <v>7019460.09</v>
      </c>
      <c r="J177" s="182">
        <f t="shared" si="75"/>
        <v>6984425.09</v>
      </c>
      <c r="K177" s="182">
        <f t="shared" si="75"/>
        <v>6610390.09</v>
      </c>
      <c r="L177" s="182">
        <f t="shared" si="75"/>
        <v>5695255.09</v>
      </c>
      <c r="M177" s="182">
        <f t="shared" si="75"/>
        <v>4780120.09</v>
      </c>
      <c r="N177" s="182">
        <f t="shared" si="75"/>
        <v>3914605.09</v>
      </c>
      <c r="O177" s="182">
        <f t="shared" si="75"/>
        <v>3139054.09</v>
      </c>
      <c r="P177" s="182">
        <f t="shared" si="75"/>
        <v>2557503.09</v>
      </c>
      <c r="Q177" s="182">
        <f t="shared" si="75"/>
        <v>1840652.0899999999</v>
      </c>
      <c r="R177" s="182">
        <f t="shared" si="75"/>
        <v>1123801.0899999999</v>
      </c>
      <c r="S177" s="182">
        <f t="shared" si="75"/>
        <v>454350.08999999985</v>
      </c>
      <c r="T177" s="182">
        <f t="shared" si="75"/>
        <v>0.08999999985098839</v>
      </c>
      <c r="U177" s="182" t="e">
        <f t="shared" si="75"/>
        <v>#REF!</v>
      </c>
      <c r="V177" s="182" t="e">
        <f t="shared" si="75"/>
        <v>#REF!</v>
      </c>
      <c r="W177" s="182" t="e">
        <f t="shared" si="75"/>
        <v>#REF!</v>
      </c>
      <c r="X177" s="182" t="e">
        <f t="shared" si="75"/>
        <v>#REF!</v>
      </c>
      <c r="Y177" s="182" t="e">
        <f t="shared" si="75"/>
        <v>#REF!</v>
      </c>
      <c r="Z177" s="182" t="e">
        <f t="shared" si="75"/>
        <v>#REF!</v>
      </c>
      <c r="AA177" s="182" t="e">
        <f t="shared" si="75"/>
        <v>#REF!</v>
      </c>
      <c r="AB177" s="182" t="e">
        <f t="shared" si="75"/>
        <v>#REF!</v>
      </c>
      <c r="AC177" s="182" t="e">
        <f t="shared" si="75"/>
        <v>#REF!</v>
      </c>
      <c r="AD177" s="182" t="e">
        <f t="shared" si="75"/>
        <v>#REF!</v>
      </c>
      <c r="AE177" s="182" t="e">
        <f t="shared" si="75"/>
        <v>#REF!</v>
      </c>
      <c r="AF177" s="182" t="e">
        <f t="shared" si="75"/>
        <v>#REF!</v>
      </c>
      <c r="AG177" s="182" t="e">
        <f t="shared" si="75"/>
        <v>#REF!</v>
      </c>
      <c r="AH177" s="182" t="e">
        <f t="shared" si="75"/>
        <v>#REF!</v>
      </c>
      <c r="AI177" s="182" t="e">
        <f t="shared" si="75"/>
        <v>#REF!</v>
      </c>
      <c r="AJ177" s="182" t="e">
        <f t="shared" si="75"/>
        <v>#REF!</v>
      </c>
      <c r="AK177" s="182" t="e">
        <f t="shared" si="75"/>
        <v>#REF!</v>
      </c>
      <c r="AL177" s="183" t="e">
        <f t="shared" si="75"/>
        <v>#REF!</v>
      </c>
      <c r="AM177" s="175"/>
    </row>
    <row r="178" spans="1:39" s="78" customFormat="1" ht="24" outlineLevel="2">
      <c r="A178" s="374"/>
      <c r="B178" s="175"/>
      <c r="C178" s="175"/>
      <c r="D178" s="185" t="s">
        <v>449</v>
      </c>
      <c r="E178" s="333" t="s">
        <v>31</v>
      </c>
      <c r="F178" s="230">
        <f>E90-(F92+F93+F94+F95)</f>
        <v>0</v>
      </c>
      <c r="G178" s="414" t="s">
        <v>31</v>
      </c>
      <c r="H178" s="231">
        <f>F90-(H92+H93+H94+H95)</f>
        <v>0</v>
      </c>
      <c r="I178" s="186">
        <f>H90-(I92+I93+I94+I95)</f>
        <v>0</v>
      </c>
      <c r="J178" s="187">
        <f aca="true" t="shared" si="76" ref="J178:AL178">I90-(J92+J93+J94+J95)</f>
        <v>0</v>
      </c>
      <c r="K178" s="187">
        <f t="shared" si="76"/>
        <v>0</v>
      </c>
      <c r="L178" s="187">
        <f t="shared" si="76"/>
        <v>0</v>
      </c>
      <c r="M178" s="187">
        <f t="shared" si="76"/>
        <v>0</v>
      </c>
      <c r="N178" s="187">
        <f t="shared" si="76"/>
        <v>0</v>
      </c>
      <c r="O178" s="187">
        <f t="shared" si="76"/>
        <v>0</v>
      </c>
      <c r="P178" s="187">
        <f t="shared" si="76"/>
        <v>0</v>
      </c>
      <c r="Q178" s="187">
        <f t="shared" si="76"/>
        <v>0</v>
      </c>
      <c r="R178" s="187">
        <f t="shared" si="76"/>
        <v>0</v>
      </c>
      <c r="S178" s="187">
        <f t="shared" si="76"/>
        <v>0</v>
      </c>
      <c r="T178" s="187">
        <f t="shared" si="76"/>
        <v>0</v>
      </c>
      <c r="U178" s="187" t="e">
        <f t="shared" si="76"/>
        <v>#REF!</v>
      </c>
      <c r="V178" s="187" t="e">
        <f t="shared" si="76"/>
        <v>#REF!</v>
      </c>
      <c r="W178" s="187" t="e">
        <f t="shared" si="76"/>
        <v>#REF!</v>
      </c>
      <c r="X178" s="187" t="e">
        <f t="shared" si="76"/>
        <v>#REF!</v>
      </c>
      <c r="Y178" s="187" t="e">
        <f t="shared" si="76"/>
        <v>#REF!</v>
      </c>
      <c r="Z178" s="187" t="e">
        <f t="shared" si="76"/>
        <v>#REF!</v>
      </c>
      <c r="AA178" s="187" t="e">
        <f t="shared" si="76"/>
        <v>#REF!</v>
      </c>
      <c r="AB178" s="187" t="e">
        <f t="shared" si="76"/>
        <v>#REF!</v>
      </c>
      <c r="AC178" s="187" t="e">
        <f t="shared" si="76"/>
        <v>#REF!</v>
      </c>
      <c r="AD178" s="187" t="e">
        <f t="shared" si="76"/>
        <v>#REF!</v>
      </c>
      <c r="AE178" s="187" t="e">
        <f t="shared" si="76"/>
        <v>#REF!</v>
      </c>
      <c r="AF178" s="187" t="e">
        <f t="shared" si="76"/>
        <v>#REF!</v>
      </c>
      <c r="AG178" s="187" t="e">
        <f t="shared" si="76"/>
        <v>#REF!</v>
      </c>
      <c r="AH178" s="187" t="e">
        <f t="shared" si="76"/>
        <v>#REF!</v>
      </c>
      <c r="AI178" s="187" t="e">
        <f t="shared" si="76"/>
        <v>#REF!</v>
      </c>
      <c r="AJ178" s="187" t="e">
        <f t="shared" si="76"/>
        <v>#REF!</v>
      </c>
      <c r="AK178" s="187" t="e">
        <f t="shared" si="76"/>
        <v>#REF!</v>
      </c>
      <c r="AL178" s="188" t="e">
        <f t="shared" si="76"/>
        <v>#REF!</v>
      </c>
      <c r="AM178" s="175"/>
    </row>
    <row r="179" spans="1:38" s="78" customFormat="1" ht="14.25">
      <c r="A179" s="374"/>
      <c r="B179" s="1"/>
      <c r="C179" s="1"/>
      <c r="D179" s="1"/>
      <c r="E179" s="6"/>
      <c r="F179" s="6"/>
      <c r="G179" s="6"/>
      <c r="H179" s="6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s="78" customFormat="1" ht="15.75">
      <c r="A180" s="374"/>
      <c r="B180" s="1"/>
      <c r="C180" s="1"/>
      <c r="D180" s="302" t="s">
        <v>35</v>
      </c>
      <c r="E180" s="72"/>
      <c r="F180" s="72"/>
      <c r="G180" s="72"/>
      <c r="H180" s="7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s="78" customFormat="1" ht="14.25" outlineLevel="1">
      <c r="A181" s="374"/>
      <c r="B181" s="1"/>
      <c r="C181" s="1"/>
      <c r="D181" s="303" t="s">
        <v>40</v>
      </c>
      <c r="E181" s="73"/>
      <c r="F181" s="73"/>
      <c r="G181" s="73"/>
      <c r="H181" s="73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s="78" customFormat="1" ht="14.25" outlineLevel="2">
      <c r="A182" s="374"/>
      <c r="B182" s="1"/>
      <c r="C182" s="1"/>
      <c r="D182" s="30">
        <v>0</v>
      </c>
      <c r="E182" s="33" t="str">
        <f>+"różnica mniejsza od "&amp;TEXT(D182*100,"0,0")&amp;"%"</f>
        <v>różnica mniejsza od 0,0%</v>
      </c>
      <c r="F182" s="74"/>
      <c r="G182" s="74"/>
      <c r="H182" s="74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s="78" customFormat="1" ht="14.25" outlineLevel="2">
      <c r="A183" s="374"/>
      <c r="B183" s="1"/>
      <c r="C183" s="1"/>
      <c r="D183" s="31">
        <v>0.005</v>
      </c>
      <c r="E183" s="33" t="str">
        <f>+"różnica mniejsza od "&amp;TEXT(D183*100,"0,0")&amp;"%"</f>
        <v>różnica mniejsza od 0,5%</v>
      </c>
      <c r="F183" s="74"/>
      <c r="G183" s="74"/>
      <c r="H183" s="74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s="78" customFormat="1" ht="14.25" outlineLevel="2">
      <c r="A184" s="374"/>
      <c r="B184" s="1"/>
      <c r="C184" s="1"/>
      <c r="D184" s="32">
        <v>0.01</v>
      </c>
      <c r="E184" s="33" t="str">
        <f>+"różnica mniejsza od "&amp;TEXT(D184*100,"0,0")&amp;"%"</f>
        <v>różnica mniejsza od 1,0%</v>
      </c>
      <c r="F184" s="74"/>
      <c r="G184" s="74"/>
      <c r="H184" s="74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s="78" customFormat="1" ht="14.25" outlineLevel="2">
      <c r="A185" s="374"/>
      <c r="B185" s="1"/>
      <c r="C185" s="1"/>
      <c r="D185" s="287" t="s">
        <v>428</v>
      </c>
      <c r="E185" s="380" t="s">
        <v>31</v>
      </c>
      <c r="F185" s="381" t="s">
        <v>31</v>
      </c>
      <c r="G185" s="381" t="s">
        <v>31</v>
      </c>
      <c r="H185" s="382" t="s">
        <v>31</v>
      </c>
      <c r="I185" s="288">
        <f aca="true" t="shared" si="77" ref="I185:AL185">+IF(I10=0,"",I61-I56)</f>
        <v>0.07558866765982308</v>
      </c>
      <c r="J185" s="289">
        <f t="shared" si="77"/>
        <v>0.05671118105451309</v>
      </c>
      <c r="K185" s="289">
        <f t="shared" si="77"/>
        <v>0.024816477302064953</v>
      </c>
      <c r="L185" s="289">
        <f t="shared" si="77"/>
        <v>0.010467886013890468</v>
      </c>
      <c r="M185" s="289">
        <f t="shared" si="77"/>
        <v>0.013645799779849643</v>
      </c>
      <c r="N185" s="289">
        <f t="shared" si="77"/>
        <v>0.026152986974014525</v>
      </c>
      <c r="O185" s="289">
        <f t="shared" si="77"/>
        <v>0.03907623722456948</v>
      </c>
      <c r="P185" s="289">
        <f t="shared" si="77"/>
        <v>0.05939045719236337</v>
      </c>
      <c r="Q185" s="289">
        <f t="shared" si="77"/>
        <v>0.06275996771608974</v>
      </c>
      <c r="R185" s="289">
        <f t="shared" si="77"/>
        <v>0.0726469658364686</v>
      </c>
      <c r="S185" s="289">
        <f t="shared" si="77"/>
        <v>0.08500872705714538</v>
      </c>
      <c r="T185" s="289">
        <f t="shared" si="77"/>
        <v>0.10554294974337725</v>
      </c>
      <c r="U185" s="289" t="e">
        <f t="shared" si="77"/>
        <v>#REF!</v>
      </c>
      <c r="V185" s="289" t="e">
        <f t="shared" si="77"/>
        <v>#REF!</v>
      </c>
      <c r="W185" s="289" t="e">
        <f t="shared" si="77"/>
        <v>#REF!</v>
      </c>
      <c r="X185" s="289" t="e">
        <f t="shared" si="77"/>
        <v>#REF!</v>
      </c>
      <c r="Y185" s="289" t="e">
        <f t="shared" si="77"/>
        <v>#REF!</v>
      </c>
      <c r="Z185" s="289" t="e">
        <f t="shared" si="77"/>
        <v>#REF!</v>
      </c>
      <c r="AA185" s="289" t="e">
        <f t="shared" si="77"/>
        <v>#REF!</v>
      </c>
      <c r="AB185" s="289" t="e">
        <f t="shared" si="77"/>
        <v>#REF!</v>
      </c>
      <c r="AC185" s="289" t="e">
        <f t="shared" si="77"/>
        <v>#REF!</v>
      </c>
      <c r="AD185" s="289" t="e">
        <f t="shared" si="77"/>
        <v>#REF!</v>
      </c>
      <c r="AE185" s="289" t="e">
        <f t="shared" si="77"/>
        <v>#REF!</v>
      </c>
      <c r="AF185" s="289" t="e">
        <f t="shared" si="77"/>
        <v>#REF!</v>
      </c>
      <c r="AG185" s="289" t="e">
        <f t="shared" si="77"/>
        <v>#REF!</v>
      </c>
      <c r="AH185" s="289" t="e">
        <f t="shared" si="77"/>
        <v>#REF!</v>
      </c>
      <c r="AI185" s="289" t="e">
        <f t="shared" si="77"/>
        <v>#REF!</v>
      </c>
      <c r="AJ185" s="289" t="e">
        <f t="shared" si="77"/>
        <v>#REF!</v>
      </c>
      <c r="AK185" s="289" t="e">
        <f t="shared" si="77"/>
        <v>#REF!</v>
      </c>
      <c r="AL185" s="290" t="e">
        <f t="shared" si="77"/>
        <v>#REF!</v>
      </c>
    </row>
    <row r="186" spans="1:38" s="78" customFormat="1" ht="14.25" outlineLevel="2">
      <c r="A186" s="374"/>
      <c r="B186" s="1"/>
      <c r="C186" s="1"/>
      <c r="D186" s="291" t="s">
        <v>429</v>
      </c>
      <c r="E186" s="383" t="s">
        <v>31</v>
      </c>
      <c r="F186" s="384" t="s">
        <v>31</v>
      </c>
      <c r="G186" s="384" t="s">
        <v>31</v>
      </c>
      <c r="H186" s="385" t="s">
        <v>31</v>
      </c>
      <c r="I186" s="292">
        <f aca="true" t="shared" si="78" ref="I186:AL186">+IF(I10=0,"",I61-I57)</f>
        <v>0.07558866765982308</v>
      </c>
      <c r="J186" s="293">
        <f t="shared" si="78"/>
        <v>0.05671118105451309</v>
      </c>
      <c r="K186" s="293">
        <f t="shared" si="78"/>
        <v>0.024816477302064953</v>
      </c>
      <c r="L186" s="293">
        <f t="shared" si="78"/>
        <v>0.010467886013890468</v>
      </c>
      <c r="M186" s="293">
        <f t="shared" si="78"/>
        <v>0.013645799779849643</v>
      </c>
      <c r="N186" s="293">
        <f t="shared" si="78"/>
        <v>0.026152986974014525</v>
      </c>
      <c r="O186" s="293">
        <f t="shared" si="78"/>
        <v>0.03907623722456948</v>
      </c>
      <c r="P186" s="293">
        <f t="shared" si="78"/>
        <v>0.05939045719236337</v>
      </c>
      <c r="Q186" s="293">
        <f t="shared" si="78"/>
        <v>0.06275996771608974</v>
      </c>
      <c r="R186" s="293">
        <f t="shared" si="78"/>
        <v>0.0726469658364686</v>
      </c>
      <c r="S186" s="293">
        <f t="shared" si="78"/>
        <v>0.08500872705714538</v>
      </c>
      <c r="T186" s="293">
        <f t="shared" si="78"/>
        <v>0.10554294974337725</v>
      </c>
      <c r="U186" s="293" t="e">
        <f t="shared" si="78"/>
        <v>#REF!</v>
      </c>
      <c r="V186" s="293" t="e">
        <f t="shared" si="78"/>
        <v>#REF!</v>
      </c>
      <c r="W186" s="293" t="e">
        <f t="shared" si="78"/>
        <v>#REF!</v>
      </c>
      <c r="X186" s="293" t="e">
        <f t="shared" si="78"/>
        <v>#REF!</v>
      </c>
      <c r="Y186" s="293" t="e">
        <f t="shared" si="78"/>
        <v>#REF!</v>
      </c>
      <c r="Z186" s="293" t="e">
        <f t="shared" si="78"/>
        <v>#REF!</v>
      </c>
      <c r="AA186" s="293" t="e">
        <f t="shared" si="78"/>
        <v>#REF!</v>
      </c>
      <c r="AB186" s="293" t="e">
        <f t="shared" si="78"/>
        <v>#REF!</v>
      </c>
      <c r="AC186" s="293" t="e">
        <f t="shared" si="78"/>
        <v>#REF!</v>
      </c>
      <c r="AD186" s="293" t="e">
        <f t="shared" si="78"/>
        <v>#REF!</v>
      </c>
      <c r="AE186" s="293" t="e">
        <f t="shared" si="78"/>
        <v>#REF!</v>
      </c>
      <c r="AF186" s="293" t="e">
        <f t="shared" si="78"/>
        <v>#REF!</v>
      </c>
      <c r="AG186" s="293" t="e">
        <f t="shared" si="78"/>
        <v>#REF!</v>
      </c>
      <c r="AH186" s="293" t="e">
        <f t="shared" si="78"/>
        <v>#REF!</v>
      </c>
      <c r="AI186" s="293" t="e">
        <f t="shared" si="78"/>
        <v>#REF!</v>
      </c>
      <c r="AJ186" s="293" t="e">
        <f t="shared" si="78"/>
        <v>#REF!</v>
      </c>
      <c r="AK186" s="293" t="e">
        <f t="shared" si="78"/>
        <v>#REF!</v>
      </c>
      <c r="AL186" s="294" t="e">
        <f t="shared" si="78"/>
        <v>#REF!</v>
      </c>
    </row>
    <row r="187" spans="1:38" s="78" customFormat="1" ht="14.25" outlineLevel="2">
      <c r="A187" s="374"/>
      <c r="B187" s="1"/>
      <c r="C187" s="1"/>
      <c r="D187" s="287" t="s">
        <v>430</v>
      </c>
      <c r="E187" s="380" t="s">
        <v>31</v>
      </c>
      <c r="F187" s="381" t="s">
        <v>31</v>
      </c>
      <c r="G187" s="381" t="s">
        <v>31</v>
      </c>
      <c r="H187" s="382" t="s">
        <v>31</v>
      </c>
      <c r="I187" s="288">
        <f aca="true" t="shared" si="79" ref="I187:AL187">+IF(I10=0,"",I62-I56)</f>
        <v>0.08131681232706067</v>
      </c>
      <c r="J187" s="289">
        <f t="shared" si="79"/>
        <v>0.06243932572175066</v>
      </c>
      <c r="K187" s="289">
        <f t="shared" si="79"/>
        <v>0.030544621969302528</v>
      </c>
      <c r="L187" s="289">
        <f t="shared" si="79"/>
        <v>0.010467886013890468</v>
      </c>
      <c r="M187" s="289">
        <f t="shared" si="79"/>
        <v>0.013645799779849643</v>
      </c>
      <c r="N187" s="289">
        <f t="shared" si="79"/>
        <v>0.026152986974014525</v>
      </c>
      <c r="O187" s="289">
        <f t="shared" si="79"/>
        <v>0.03907623722456948</v>
      </c>
      <c r="P187" s="289">
        <f t="shared" si="79"/>
        <v>0.05939045719236337</v>
      </c>
      <c r="Q187" s="289">
        <f t="shared" si="79"/>
        <v>0.06275996771608974</v>
      </c>
      <c r="R187" s="289">
        <f t="shared" si="79"/>
        <v>0.0726469658364686</v>
      </c>
      <c r="S187" s="289">
        <f t="shared" si="79"/>
        <v>0.08500872705714538</v>
      </c>
      <c r="T187" s="289">
        <f t="shared" si="79"/>
        <v>0.10554294974337725</v>
      </c>
      <c r="U187" s="289" t="e">
        <f t="shared" si="79"/>
        <v>#REF!</v>
      </c>
      <c r="V187" s="289" t="e">
        <f t="shared" si="79"/>
        <v>#REF!</v>
      </c>
      <c r="W187" s="289" t="e">
        <f t="shared" si="79"/>
        <v>#REF!</v>
      </c>
      <c r="X187" s="289" t="e">
        <f t="shared" si="79"/>
        <v>#REF!</v>
      </c>
      <c r="Y187" s="289" t="e">
        <f t="shared" si="79"/>
        <v>#REF!</v>
      </c>
      <c r="Z187" s="289" t="e">
        <f t="shared" si="79"/>
        <v>#REF!</v>
      </c>
      <c r="AA187" s="289" t="e">
        <f t="shared" si="79"/>
        <v>#REF!</v>
      </c>
      <c r="AB187" s="289" t="e">
        <f t="shared" si="79"/>
        <v>#REF!</v>
      </c>
      <c r="AC187" s="289" t="e">
        <f t="shared" si="79"/>
        <v>#REF!</v>
      </c>
      <c r="AD187" s="289" t="e">
        <f t="shared" si="79"/>
        <v>#REF!</v>
      </c>
      <c r="AE187" s="289" t="e">
        <f t="shared" si="79"/>
        <v>#REF!</v>
      </c>
      <c r="AF187" s="289" t="e">
        <f t="shared" si="79"/>
        <v>#REF!</v>
      </c>
      <c r="AG187" s="289" t="e">
        <f t="shared" si="79"/>
        <v>#REF!</v>
      </c>
      <c r="AH187" s="289" t="e">
        <f t="shared" si="79"/>
        <v>#REF!</v>
      </c>
      <c r="AI187" s="289" t="e">
        <f t="shared" si="79"/>
        <v>#REF!</v>
      </c>
      <c r="AJ187" s="289" t="e">
        <f t="shared" si="79"/>
        <v>#REF!</v>
      </c>
      <c r="AK187" s="289" t="e">
        <f t="shared" si="79"/>
        <v>#REF!</v>
      </c>
      <c r="AL187" s="290" t="e">
        <f t="shared" si="79"/>
        <v>#REF!</v>
      </c>
    </row>
    <row r="188" spans="1:38" s="78" customFormat="1" ht="14.25" outlineLevel="2">
      <c r="A188" s="374"/>
      <c r="B188" s="1"/>
      <c r="C188" s="1"/>
      <c r="D188" s="291" t="s">
        <v>431</v>
      </c>
      <c r="E188" s="383" t="s">
        <v>31</v>
      </c>
      <c r="F188" s="384" t="s">
        <v>31</v>
      </c>
      <c r="G188" s="384" t="s">
        <v>31</v>
      </c>
      <c r="H188" s="385" t="s">
        <v>31</v>
      </c>
      <c r="I188" s="292">
        <f aca="true" t="shared" si="80" ref="I188:AL188">+IF(I10=0,"",I62-I57)</f>
        <v>0.08131681232706067</v>
      </c>
      <c r="J188" s="293">
        <f t="shared" si="80"/>
        <v>0.06243932572175066</v>
      </c>
      <c r="K188" s="293">
        <f t="shared" si="80"/>
        <v>0.030544621969302528</v>
      </c>
      <c r="L188" s="293">
        <f t="shared" si="80"/>
        <v>0.010467886013890468</v>
      </c>
      <c r="M188" s="293">
        <f t="shared" si="80"/>
        <v>0.013645799779849643</v>
      </c>
      <c r="N188" s="293">
        <f t="shared" si="80"/>
        <v>0.026152986974014525</v>
      </c>
      <c r="O188" s="293">
        <f t="shared" si="80"/>
        <v>0.03907623722456948</v>
      </c>
      <c r="P188" s="293">
        <f t="shared" si="80"/>
        <v>0.05939045719236337</v>
      </c>
      <c r="Q188" s="293">
        <f t="shared" si="80"/>
        <v>0.06275996771608974</v>
      </c>
      <c r="R188" s="293">
        <f t="shared" si="80"/>
        <v>0.0726469658364686</v>
      </c>
      <c r="S188" s="293">
        <f t="shared" si="80"/>
        <v>0.08500872705714538</v>
      </c>
      <c r="T188" s="293">
        <f t="shared" si="80"/>
        <v>0.10554294974337725</v>
      </c>
      <c r="U188" s="293" t="e">
        <f t="shared" si="80"/>
        <v>#REF!</v>
      </c>
      <c r="V188" s="293" t="e">
        <f t="shared" si="80"/>
        <v>#REF!</v>
      </c>
      <c r="W188" s="293" t="e">
        <f t="shared" si="80"/>
        <v>#REF!</v>
      </c>
      <c r="X188" s="293" t="e">
        <f t="shared" si="80"/>
        <v>#REF!</v>
      </c>
      <c r="Y188" s="293" t="e">
        <f t="shared" si="80"/>
        <v>#REF!</v>
      </c>
      <c r="Z188" s="293" t="e">
        <f t="shared" si="80"/>
        <v>#REF!</v>
      </c>
      <c r="AA188" s="293" t="e">
        <f t="shared" si="80"/>
        <v>#REF!</v>
      </c>
      <c r="AB188" s="293" t="e">
        <f t="shared" si="80"/>
        <v>#REF!</v>
      </c>
      <c r="AC188" s="293" t="e">
        <f t="shared" si="80"/>
        <v>#REF!</v>
      </c>
      <c r="AD188" s="293" t="e">
        <f t="shared" si="80"/>
        <v>#REF!</v>
      </c>
      <c r="AE188" s="293" t="e">
        <f t="shared" si="80"/>
        <v>#REF!</v>
      </c>
      <c r="AF188" s="293" t="e">
        <f t="shared" si="80"/>
        <v>#REF!</v>
      </c>
      <c r="AG188" s="293" t="e">
        <f t="shared" si="80"/>
        <v>#REF!</v>
      </c>
      <c r="AH188" s="293" t="e">
        <f t="shared" si="80"/>
        <v>#REF!</v>
      </c>
      <c r="AI188" s="293" t="e">
        <f t="shared" si="80"/>
        <v>#REF!</v>
      </c>
      <c r="AJ188" s="293" t="e">
        <f t="shared" si="80"/>
        <v>#REF!</v>
      </c>
      <c r="AK188" s="293" t="e">
        <f t="shared" si="80"/>
        <v>#REF!</v>
      </c>
      <c r="AL188" s="294" t="e">
        <f t="shared" si="80"/>
        <v>#REF!</v>
      </c>
    </row>
    <row r="189" spans="1:38" s="78" customFormat="1" ht="14.25" outlineLevel="1">
      <c r="A189" s="374"/>
      <c r="B189" s="1"/>
      <c r="C189" s="1"/>
      <c r="D189" s="303" t="s">
        <v>439</v>
      </c>
      <c r="E189" s="73"/>
      <c r="F189" s="73"/>
      <c r="G189" s="73"/>
      <c r="H189" s="7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s="78" customFormat="1" ht="14.25" outlineLevel="2">
      <c r="A190" s="374"/>
      <c r="B190" s="1"/>
      <c r="C190" s="1"/>
      <c r="D190" s="27">
        <v>0.05</v>
      </c>
      <c r="E190" s="33" t="str">
        <f>+"zmiana większa niż +/- "&amp;TEXT(D190*100,"0,0")&amp;"%"</f>
        <v>zmiana większa niż +/- 5,0%</v>
      </c>
      <c r="F190" s="75"/>
      <c r="G190" s="75"/>
      <c r="H190" s="75"/>
      <c r="I190" s="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s="78" customFormat="1" ht="14.25" outlineLevel="2">
      <c r="A191" s="374"/>
      <c r="B191" s="1"/>
      <c r="C191" s="1"/>
      <c r="D191" s="28">
        <v>0.1</v>
      </c>
      <c r="E191" s="33" t="str">
        <f>+"zmiana większa niż +/- "&amp;TEXT(D191*100,"0,0")&amp;"%"</f>
        <v>zmiana większa niż +/- 10,0%</v>
      </c>
      <c r="F191" s="75"/>
      <c r="G191" s="75"/>
      <c r="H191" s="75"/>
      <c r="I191" s="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s="78" customFormat="1" ht="24" outlineLevel="2">
      <c r="A192" s="374"/>
      <c r="B192" s="1"/>
      <c r="C192" s="1"/>
      <c r="D192" s="29">
        <v>0.2</v>
      </c>
      <c r="E192" s="33" t="str">
        <f>+"zmiana większa niż +/- "&amp;TEXT(D192*100,"0,0")&amp;"%"</f>
        <v>zmiana większa niż +/- 20,0%</v>
      </c>
      <c r="F192" s="75"/>
      <c r="G192" s="417" t="s">
        <v>480</v>
      </c>
      <c r="H192" s="417" t="s">
        <v>479</v>
      </c>
      <c r="I192" s="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9" s="78" customFormat="1" ht="14.25" outlineLevel="2">
      <c r="A193" s="374"/>
      <c r="B193" s="272"/>
      <c r="C193" s="272"/>
      <c r="D193" s="190" t="s">
        <v>26</v>
      </c>
      <c r="E193" s="386" t="s">
        <v>31</v>
      </c>
      <c r="F193" s="191">
        <f aca="true" t="shared" si="81" ref="F193:AL193">+IF(F10=0,0,IF(E219&lt;&gt;0,F219/E219-1,0))</f>
        <v>0.09290873896991325</v>
      </c>
      <c r="G193" s="191">
        <f t="shared" si="81"/>
        <v>0.34437376937510766</v>
      </c>
      <c r="H193" s="192">
        <f t="shared" si="81"/>
        <v>-0.05205110484513231</v>
      </c>
      <c r="I193" s="273">
        <f t="shared" si="81"/>
        <v>-0.10627100648623</v>
      </c>
      <c r="J193" s="274">
        <f t="shared" si="81"/>
        <v>-0.09876395670609162</v>
      </c>
      <c r="K193" s="274">
        <f t="shared" si="81"/>
        <v>0.05687417837088016</v>
      </c>
      <c r="L193" s="274">
        <f t="shared" si="81"/>
        <v>-0.013299013299013285</v>
      </c>
      <c r="M193" s="274">
        <f t="shared" si="81"/>
        <v>0.02898550724637672</v>
      </c>
      <c r="N193" s="274">
        <f t="shared" si="81"/>
        <v>0.028169014084507005</v>
      </c>
      <c r="O193" s="274">
        <f t="shared" si="81"/>
        <v>0.027397260273972712</v>
      </c>
      <c r="P193" s="274">
        <f t="shared" si="81"/>
        <v>0.022222222222222143</v>
      </c>
      <c r="Q193" s="274">
        <f t="shared" si="81"/>
        <v>0.02034782608695651</v>
      </c>
      <c r="R193" s="274">
        <f t="shared" si="81"/>
        <v>0.019984659962502205</v>
      </c>
      <c r="S193" s="274">
        <f t="shared" si="81"/>
        <v>0.02001086184567824</v>
      </c>
      <c r="T193" s="274">
        <f t="shared" si="81"/>
        <v>0.019823066841415438</v>
      </c>
      <c r="U193" s="274" t="e">
        <f t="shared" si="81"/>
        <v>#REF!</v>
      </c>
      <c r="V193" s="274" t="e">
        <f t="shared" si="81"/>
        <v>#REF!</v>
      </c>
      <c r="W193" s="274" t="e">
        <f t="shared" si="81"/>
        <v>#REF!</v>
      </c>
      <c r="X193" s="274" t="e">
        <f t="shared" si="81"/>
        <v>#REF!</v>
      </c>
      <c r="Y193" s="274" t="e">
        <f t="shared" si="81"/>
        <v>#REF!</v>
      </c>
      <c r="Z193" s="274" t="e">
        <f t="shared" si="81"/>
        <v>#REF!</v>
      </c>
      <c r="AA193" s="274" t="e">
        <f t="shared" si="81"/>
        <v>#REF!</v>
      </c>
      <c r="AB193" s="274" t="e">
        <f t="shared" si="81"/>
        <v>#REF!</v>
      </c>
      <c r="AC193" s="274" t="e">
        <f t="shared" si="81"/>
        <v>#REF!</v>
      </c>
      <c r="AD193" s="274" t="e">
        <f t="shared" si="81"/>
        <v>#REF!</v>
      </c>
      <c r="AE193" s="274" t="e">
        <f t="shared" si="81"/>
        <v>#REF!</v>
      </c>
      <c r="AF193" s="274" t="e">
        <f t="shared" si="81"/>
        <v>#REF!</v>
      </c>
      <c r="AG193" s="274" t="e">
        <f t="shared" si="81"/>
        <v>#REF!</v>
      </c>
      <c r="AH193" s="274" t="e">
        <f t="shared" si="81"/>
        <v>#REF!</v>
      </c>
      <c r="AI193" s="274" t="e">
        <f t="shared" si="81"/>
        <v>#REF!</v>
      </c>
      <c r="AJ193" s="274" t="e">
        <f t="shared" si="81"/>
        <v>#REF!</v>
      </c>
      <c r="AK193" s="274" t="e">
        <f t="shared" si="81"/>
        <v>#REF!</v>
      </c>
      <c r="AL193" s="275" t="e">
        <f t="shared" si="81"/>
        <v>#REF!</v>
      </c>
      <c r="AM193" s="276"/>
    </row>
    <row r="194" spans="1:39" s="78" customFormat="1" ht="15" outlineLevel="2">
      <c r="A194" s="374"/>
      <c r="B194" s="189"/>
      <c r="C194" s="189"/>
      <c r="D194" s="193" t="s">
        <v>391</v>
      </c>
      <c r="E194" s="387" t="s">
        <v>31</v>
      </c>
      <c r="F194" s="232">
        <f aca="true" t="shared" si="82" ref="F194:AL194">+IF(F10=0,0,IF(E220&lt;&gt;0,F220/E220-1,0))</f>
        <v>0.09290873896991325</v>
      </c>
      <c r="G194" s="232">
        <f t="shared" si="82"/>
        <v>0.34437376937510766</v>
      </c>
      <c r="H194" s="233">
        <f t="shared" si="82"/>
        <v>-0.05205110484513231</v>
      </c>
      <c r="I194" s="194">
        <f t="shared" si="82"/>
        <v>-0.1598606993104702</v>
      </c>
      <c r="J194" s="195">
        <f t="shared" si="82"/>
        <v>-0.04127710579623023</v>
      </c>
      <c r="K194" s="195">
        <f t="shared" si="82"/>
        <v>0.05687417837088016</v>
      </c>
      <c r="L194" s="195">
        <f t="shared" si="82"/>
        <v>-0.013299013299013285</v>
      </c>
      <c r="M194" s="195">
        <f t="shared" si="82"/>
        <v>0.02898550724637672</v>
      </c>
      <c r="N194" s="195">
        <f t="shared" si="82"/>
        <v>0.028169014084507005</v>
      </c>
      <c r="O194" s="195">
        <f t="shared" si="82"/>
        <v>0.027397260273972712</v>
      </c>
      <c r="P194" s="195">
        <f t="shared" si="82"/>
        <v>0.022222222222222143</v>
      </c>
      <c r="Q194" s="195">
        <f t="shared" si="82"/>
        <v>0.02034782608695651</v>
      </c>
      <c r="R194" s="195">
        <f t="shared" si="82"/>
        <v>0.019984659962502205</v>
      </c>
      <c r="S194" s="195">
        <f t="shared" si="82"/>
        <v>0.02001086184567824</v>
      </c>
      <c r="T194" s="195">
        <f t="shared" si="82"/>
        <v>0.019823066841415438</v>
      </c>
      <c r="U194" s="195" t="e">
        <f t="shared" si="82"/>
        <v>#REF!</v>
      </c>
      <c r="V194" s="195" t="e">
        <f t="shared" si="82"/>
        <v>#REF!</v>
      </c>
      <c r="W194" s="195" t="e">
        <f t="shared" si="82"/>
        <v>#REF!</v>
      </c>
      <c r="X194" s="195" t="e">
        <f t="shared" si="82"/>
        <v>#REF!</v>
      </c>
      <c r="Y194" s="195" t="e">
        <f t="shared" si="82"/>
        <v>#REF!</v>
      </c>
      <c r="Z194" s="195" t="e">
        <f t="shared" si="82"/>
        <v>#REF!</v>
      </c>
      <c r="AA194" s="195" t="e">
        <f t="shared" si="82"/>
        <v>#REF!</v>
      </c>
      <c r="AB194" s="195" t="e">
        <f t="shared" si="82"/>
        <v>#REF!</v>
      </c>
      <c r="AC194" s="195" t="e">
        <f t="shared" si="82"/>
        <v>#REF!</v>
      </c>
      <c r="AD194" s="195" t="e">
        <f t="shared" si="82"/>
        <v>#REF!</v>
      </c>
      <c r="AE194" s="195" t="e">
        <f t="shared" si="82"/>
        <v>#REF!</v>
      </c>
      <c r="AF194" s="195" t="e">
        <f t="shared" si="82"/>
        <v>#REF!</v>
      </c>
      <c r="AG194" s="195" t="e">
        <f t="shared" si="82"/>
        <v>#REF!</v>
      </c>
      <c r="AH194" s="195" t="e">
        <f t="shared" si="82"/>
        <v>#REF!</v>
      </c>
      <c r="AI194" s="195" t="e">
        <f t="shared" si="82"/>
        <v>#REF!</v>
      </c>
      <c r="AJ194" s="195" t="e">
        <f t="shared" si="82"/>
        <v>#REF!</v>
      </c>
      <c r="AK194" s="195" t="e">
        <f t="shared" si="82"/>
        <v>#REF!</v>
      </c>
      <c r="AL194" s="196" t="e">
        <f t="shared" si="82"/>
        <v>#REF!</v>
      </c>
      <c r="AM194" s="175"/>
    </row>
    <row r="195" spans="1:39" s="78" customFormat="1" ht="15" outlineLevel="2">
      <c r="A195" s="374"/>
      <c r="B195" s="189"/>
      <c r="C195" s="189"/>
      <c r="D195" s="197" t="s">
        <v>392</v>
      </c>
      <c r="E195" s="388" t="s">
        <v>31</v>
      </c>
      <c r="F195" s="234">
        <f aca="true" t="shared" si="83" ref="F195:AL195">+IF(F10=0,0,IF(E221&lt;&gt;0,F221/E221-1,0))</f>
        <v>0.12886262084576794</v>
      </c>
      <c r="G195" s="234">
        <f t="shared" si="83"/>
        <v>-0.014958516498069563</v>
      </c>
      <c r="H195" s="235">
        <f t="shared" si="83"/>
        <v>0.005218951598412902</v>
      </c>
      <c r="I195" s="194">
        <f t="shared" si="83"/>
        <v>0.07802311727755384</v>
      </c>
      <c r="J195" s="195">
        <f t="shared" si="83"/>
        <v>0.009510824091568448</v>
      </c>
      <c r="K195" s="195">
        <f t="shared" si="83"/>
        <v>0.04144834895462668</v>
      </c>
      <c r="L195" s="195">
        <f t="shared" si="83"/>
        <v>0.029850746268656803</v>
      </c>
      <c r="M195" s="195">
        <f t="shared" si="83"/>
        <v>0.02898550724637672</v>
      </c>
      <c r="N195" s="195">
        <f t="shared" si="83"/>
        <v>0.028169014084507005</v>
      </c>
      <c r="O195" s="195">
        <f t="shared" si="83"/>
        <v>0.027397260273972712</v>
      </c>
      <c r="P195" s="195">
        <f t="shared" si="83"/>
        <v>0.022222222222222143</v>
      </c>
      <c r="Q195" s="195">
        <f t="shared" si="83"/>
        <v>0.02034782608695651</v>
      </c>
      <c r="R195" s="195">
        <f t="shared" si="83"/>
        <v>0.019984659962502205</v>
      </c>
      <c r="S195" s="195">
        <f t="shared" si="83"/>
        <v>0.02001086184567824</v>
      </c>
      <c r="T195" s="195">
        <f t="shared" si="83"/>
        <v>0.019823066841415438</v>
      </c>
      <c r="U195" s="195" t="e">
        <f t="shared" si="83"/>
        <v>#REF!</v>
      </c>
      <c r="V195" s="195" t="e">
        <f t="shared" si="83"/>
        <v>#REF!</v>
      </c>
      <c r="W195" s="195" t="e">
        <f t="shared" si="83"/>
        <v>#REF!</v>
      </c>
      <c r="X195" s="195" t="e">
        <f t="shared" si="83"/>
        <v>#REF!</v>
      </c>
      <c r="Y195" s="195" t="e">
        <f t="shared" si="83"/>
        <v>#REF!</v>
      </c>
      <c r="Z195" s="195" t="e">
        <f t="shared" si="83"/>
        <v>#REF!</v>
      </c>
      <c r="AA195" s="195" t="e">
        <f t="shared" si="83"/>
        <v>#REF!</v>
      </c>
      <c r="AB195" s="195" t="e">
        <f t="shared" si="83"/>
        <v>#REF!</v>
      </c>
      <c r="AC195" s="195" t="e">
        <f t="shared" si="83"/>
        <v>#REF!</v>
      </c>
      <c r="AD195" s="195" t="e">
        <f t="shared" si="83"/>
        <v>#REF!</v>
      </c>
      <c r="AE195" s="195" t="e">
        <f t="shared" si="83"/>
        <v>#REF!</v>
      </c>
      <c r="AF195" s="195" t="e">
        <f t="shared" si="83"/>
        <v>#REF!</v>
      </c>
      <c r="AG195" s="195" t="e">
        <f t="shared" si="83"/>
        <v>#REF!</v>
      </c>
      <c r="AH195" s="195" t="e">
        <f t="shared" si="83"/>
        <v>#REF!</v>
      </c>
      <c r="AI195" s="195" t="e">
        <f t="shared" si="83"/>
        <v>#REF!</v>
      </c>
      <c r="AJ195" s="195" t="e">
        <f t="shared" si="83"/>
        <v>#REF!</v>
      </c>
      <c r="AK195" s="195" t="e">
        <f t="shared" si="83"/>
        <v>#REF!</v>
      </c>
      <c r="AL195" s="196" t="e">
        <f t="shared" si="83"/>
        <v>#REF!</v>
      </c>
      <c r="AM195" s="175"/>
    </row>
    <row r="196" spans="1:39" s="78" customFormat="1" ht="15" outlineLevel="2">
      <c r="A196" s="374"/>
      <c r="B196" s="189"/>
      <c r="C196" s="189"/>
      <c r="D196" s="197" t="s">
        <v>393</v>
      </c>
      <c r="E196" s="388" t="s">
        <v>31</v>
      </c>
      <c r="F196" s="234">
        <f aca="true" t="shared" si="84" ref="F196:AL196">+IF(F10=0,0,IF(E222&lt;&gt;0,F222/E222-1,0))</f>
        <v>-0.21910402468804246</v>
      </c>
      <c r="G196" s="234">
        <f t="shared" si="84"/>
        <v>4.852236901402965</v>
      </c>
      <c r="H196" s="235">
        <f t="shared" si="84"/>
        <v>-0.17298128914601474</v>
      </c>
      <c r="I196" s="194">
        <f t="shared" si="84"/>
        <v>-0.7704052140101939</v>
      </c>
      <c r="J196" s="195">
        <f t="shared" si="84"/>
        <v>-0.6533159697162044</v>
      </c>
      <c r="K196" s="195">
        <f t="shared" si="84"/>
        <v>0.5981818181818181</v>
      </c>
      <c r="L196" s="195">
        <f t="shared" si="84"/>
        <v>-1</v>
      </c>
      <c r="M196" s="195">
        <f t="shared" si="84"/>
        <v>0</v>
      </c>
      <c r="N196" s="195">
        <f t="shared" si="84"/>
        <v>0</v>
      </c>
      <c r="O196" s="195">
        <f t="shared" si="84"/>
        <v>0</v>
      </c>
      <c r="P196" s="195">
        <f t="shared" si="84"/>
        <v>0</v>
      </c>
      <c r="Q196" s="195">
        <f t="shared" si="84"/>
        <v>0</v>
      </c>
      <c r="R196" s="195">
        <f t="shared" si="84"/>
        <v>0</v>
      </c>
      <c r="S196" s="195">
        <f t="shared" si="84"/>
        <v>0</v>
      </c>
      <c r="T196" s="195">
        <f t="shared" si="84"/>
        <v>0</v>
      </c>
      <c r="U196" s="195" t="e">
        <f t="shared" si="84"/>
        <v>#REF!</v>
      </c>
      <c r="V196" s="195" t="e">
        <f t="shared" si="84"/>
        <v>#REF!</v>
      </c>
      <c r="W196" s="195" t="e">
        <f t="shared" si="84"/>
        <v>#REF!</v>
      </c>
      <c r="X196" s="195" t="e">
        <f t="shared" si="84"/>
        <v>#REF!</v>
      </c>
      <c r="Y196" s="195" t="e">
        <f t="shared" si="84"/>
        <v>#REF!</v>
      </c>
      <c r="Z196" s="195" t="e">
        <f t="shared" si="84"/>
        <v>#REF!</v>
      </c>
      <c r="AA196" s="195" t="e">
        <f t="shared" si="84"/>
        <v>#REF!</v>
      </c>
      <c r="AB196" s="195" t="e">
        <f t="shared" si="84"/>
        <v>#REF!</v>
      </c>
      <c r="AC196" s="195" t="e">
        <f t="shared" si="84"/>
        <v>#REF!</v>
      </c>
      <c r="AD196" s="195" t="e">
        <f t="shared" si="84"/>
        <v>#REF!</v>
      </c>
      <c r="AE196" s="195" t="e">
        <f t="shared" si="84"/>
        <v>#REF!</v>
      </c>
      <c r="AF196" s="195" t="e">
        <f t="shared" si="84"/>
        <v>#REF!</v>
      </c>
      <c r="AG196" s="195" t="e">
        <f t="shared" si="84"/>
        <v>#REF!</v>
      </c>
      <c r="AH196" s="195" t="e">
        <f t="shared" si="84"/>
        <v>#REF!</v>
      </c>
      <c r="AI196" s="195" t="e">
        <f t="shared" si="84"/>
        <v>#REF!</v>
      </c>
      <c r="AJ196" s="195" t="e">
        <f t="shared" si="84"/>
        <v>#REF!</v>
      </c>
      <c r="AK196" s="195" t="e">
        <f t="shared" si="84"/>
        <v>#REF!</v>
      </c>
      <c r="AL196" s="196" t="e">
        <f t="shared" si="84"/>
        <v>#REF!</v>
      </c>
      <c r="AM196" s="175"/>
    </row>
    <row r="197" spans="1:39" s="78" customFormat="1" ht="24" outlineLevel="2">
      <c r="A197" s="374"/>
      <c r="B197" s="189"/>
      <c r="C197" s="189"/>
      <c r="D197" s="197" t="s">
        <v>394</v>
      </c>
      <c r="E197" s="388" t="s">
        <v>31</v>
      </c>
      <c r="F197" s="234">
        <f aca="true" t="shared" si="85" ref="F197:AL197">+IF(F10=0,0,IF(E223&lt;&gt;0,F223/E223-1,0))</f>
        <v>-0.2517222577272623</v>
      </c>
      <c r="G197" s="234">
        <f t="shared" si="85"/>
        <v>5.737383886008841</v>
      </c>
      <c r="H197" s="235">
        <f t="shared" si="85"/>
        <v>-0.15337184417021132</v>
      </c>
      <c r="I197" s="194">
        <f t="shared" si="85"/>
        <v>-0.969291511202303</v>
      </c>
      <c r="J197" s="195">
        <f t="shared" si="85"/>
        <v>-1</v>
      </c>
      <c r="K197" s="195">
        <f t="shared" si="85"/>
        <v>0</v>
      </c>
      <c r="L197" s="195">
        <f t="shared" si="85"/>
        <v>-1</v>
      </c>
      <c r="M197" s="195">
        <f t="shared" si="85"/>
        <v>0</v>
      </c>
      <c r="N197" s="195">
        <f t="shared" si="85"/>
        <v>0</v>
      </c>
      <c r="O197" s="195">
        <f t="shared" si="85"/>
        <v>0</v>
      </c>
      <c r="P197" s="195">
        <f t="shared" si="85"/>
        <v>0</v>
      </c>
      <c r="Q197" s="195">
        <f t="shared" si="85"/>
        <v>0</v>
      </c>
      <c r="R197" s="195">
        <f t="shared" si="85"/>
        <v>0</v>
      </c>
      <c r="S197" s="195">
        <f t="shared" si="85"/>
        <v>0</v>
      </c>
      <c r="T197" s="195">
        <f t="shared" si="85"/>
        <v>0</v>
      </c>
      <c r="U197" s="195" t="e">
        <f t="shared" si="85"/>
        <v>#REF!</v>
      </c>
      <c r="V197" s="195" t="e">
        <f t="shared" si="85"/>
        <v>#REF!</v>
      </c>
      <c r="W197" s="195" t="e">
        <f t="shared" si="85"/>
        <v>#REF!</v>
      </c>
      <c r="X197" s="195" t="e">
        <f t="shared" si="85"/>
        <v>#REF!</v>
      </c>
      <c r="Y197" s="195" t="e">
        <f t="shared" si="85"/>
        <v>#REF!</v>
      </c>
      <c r="Z197" s="195" t="e">
        <f t="shared" si="85"/>
        <v>#REF!</v>
      </c>
      <c r="AA197" s="195" t="e">
        <f t="shared" si="85"/>
        <v>#REF!</v>
      </c>
      <c r="AB197" s="195" t="e">
        <f t="shared" si="85"/>
        <v>#REF!</v>
      </c>
      <c r="AC197" s="195" t="e">
        <f t="shared" si="85"/>
        <v>#REF!</v>
      </c>
      <c r="AD197" s="195" t="e">
        <f t="shared" si="85"/>
        <v>#REF!</v>
      </c>
      <c r="AE197" s="195" t="e">
        <f t="shared" si="85"/>
        <v>#REF!</v>
      </c>
      <c r="AF197" s="195" t="e">
        <f t="shared" si="85"/>
        <v>#REF!</v>
      </c>
      <c r="AG197" s="195" t="e">
        <f t="shared" si="85"/>
        <v>#REF!</v>
      </c>
      <c r="AH197" s="195" t="e">
        <f t="shared" si="85"/>
        <v>#REF!</v>
      </c>
      <c r="AI197" s="195" t="e">
        <f t="shared" si="85"/>
        <v>#REF!</v>
      </c>
      <c r="AJ197" s="195" t="e">
        <f t="shared" si="85"/>
        <v>#REF!</v>
      </c>
      <c r="AK197" s="195" t="e">
        <f t="shared" si="85"/>
        <v>#REF!</v>
      </c>
      <c r="AL197" s="196" t="e">
        <f t="shared" si="85"/>
        <v>#REF!</v>
      </c>
      <c r="AM197" s="175"/>
    </row>
    <row r="198" spans="1:39" s="78" customFormat="1" ht="15" outlineLevel="2">
      <c r="A198" s="374"/>
      <c r="B198" s="189"/>
      <c r="C198" s="189"/>
      <c r="D198" s="198" t="s">
        <v>36</v>
      </c>
      <c r="E198" s="389" t="s">
        <v>31</v>
      </c>
      <c r="F198" s="236">
        <f aca="true" t="shared" si="86" ref="F198:AL198">+IF(F10=0,0,IF(E224&lt;&gt;0,F224/E224-1,0))</f>
        <v>-0.17061260567823067</v>
      </c>
      <c r="G198" s="236">
        <f t="shared" si="86"/>
        <v>3.6650331698338725</v>
      </c>
      <c r="H198" s="237">
        <f t="shared" si="86"/>
        <v>-0.21096625303195427</v>
      </c>
      <c r="I198" s="199">
        <f t="shared" si="86"/>
        <v>-0.35702621662475875</v>
      </c>
      <c r="J198" s="200">
        <f t="shared" si="86"/>
        <v>-0.6189013827643646</v>
      </c>
      <c r="K198" s="200">
        <f t="shared" si="86"/>
        <v>-0.40727272727272723</v>
      </c>
      <c r="L198" s="200">
        <f t="shared" si="86"/>
        <v>-1</v>
      </c>
      <c r="M198" s="200">
        <f t="shared" si="86"/>
        <v>0</v>
      </c>
      <c r="N198" s="200">
        <f t="shared" si="86"/>
        <v>0</v>
      </c>
      <c r="O198" s="200">
        <f t="shared" si="86"/>
        <v>0</v>
      </c>
      <c r="P198" s="200">
        <f t="shared" si="86"/>
        <v>0</v>
      </c>
      <c r="Q198" s="200">
        <f t="shared" si="86"/>
        <v>0</v>
      </c>
      <c r="R198" s="200">
        <f t="shared" si="86"/>
        <v>0</v>
      </c>
      <c r="S198" s="200">
        <f t="shared" si="86"/>
        <v>0</v>
      </c>
      <c r="T198" s="200">
        <f t="shared" si="86"/>
        <v>0</v>
      </c>
      <c r="U198" s="200" t="e">
        <f t="shared" si="86"/>
        <v>#REF!</v>
      </c>
      <c r="V198" s="200" t="e">
        <f t="shared" si="86"/>
        <v>#REF!</v>
      </c>
      <c r="W198" s="200" t="e">
        <f t="shared" si="86"/>
        <v>#REF!</v>
      </c>
      <c r="X198" s="200" t="e">
        <f t="shared" si="86"/>
        <v>#REF!</v>
      </c>
      <c r="Y198" s="200" t="e">
        <f t="shared" si="86"/>
        <v>#REF!</v>
      </c>
      <c r="Z198" s="200" t="e">
        <f t="shared" si="86"/>
        <v>#REF!</v>
      </c>
      <c r="AA198" s="200" t="e">
        <f t="shared" si="86"/>
        <v>#REF!</v>
      </c>
      <c r="AB198" s="200" t="e">
        <f t="shared" si="86"/>
        <v>#REF!</v>
      </c>
      <c r="AC198" s="200" t="e">
        <f t="shared" si="86"/>
        <v>#REF!</v>
      </c>
      <c r="AD198" s="200" t="e">
        <f t="shared" si="86"/>
        <v>#REF!</v>
      </c>
      <c r="AE198" s="200" t="e">
        <f t="shared" si="86"/>
        <v>#REF!</v>
      </c>
      <c r="AF198" s="200" t="e">
        <f t="shared" si="86"/>
        <v>#REF!</v>
      </c>
      <c r="AG198" s="200" t="e">
        <f t="shared" si="86"/>
        <v>#REF!</v>
      </c>
      <c r="AH198" s="200" t="e">
        <f t="shared" si="86"/>
        <v>#REF!</v>
      </c>
      <c r="AI198" s="200" t="e">
        <f t="shared" si="86"/>
        <v>#REF!</v>
      </c>
      <c r="AJ198" s="200" t="e">
        <f t="shared" si="86"/>
        <v>#REF!</v>
      </c>
      <c r="AK198" s="200" t="e">
        <f t="shared" si="86"/>
        <v>#REF!</v>
      </c>
      <c r="AL198" s="201" t="e">
        <f t="shared" si="86"/>
        <v>#REF!</v>
      </c>
      <c r="AM198" s="175"/>
    </row>
    <row r="199" spans="1:39" s="78" customFormat="1" ht="14.25" outlineLevel="2">
      <c r="A199" s="374"/>
      <c r="B199" s="272"/>
      <c r="C199" s="272"/>
      <c r="D199" s="190" t="s">
        <v>21</v>
      </c>
      <c r="E199" s="386" t="s">
        <v>31</v>
      </c>
      <c r="F199" s="191">
        <f aca="true" t="shared" si="87" ref="F199:AL199">+IF(F10=0,0,IF(E225&lt;&gt;0,F225/E225-1,0))</f>
        <v>-0.014576032140525386</v>
      </c>
      <c r="G199" s="191">
        <f t="shared" si="87"/>
        <v>0.028586821132745133</v>
      </c>
      <c r="H199" s="192">
        <f t="shared" si="87"/>
        <v>-0.08262944237705694</v>
      </c>
      <c r="I199" s="273">
        <f t="shared" si="87"/>
        <v>0.05584892403129049</v>
      </c>
      <c r="J199" s="274">
        <f t="shared" si="87"/>
        <v>-0.08632267492175716</v>
      </c>
      <c r="K199" s="274">
        <f t="shared" si="87"/>
        <v>0.0398664951468608</v>
      </c>
      <c r="L199" s="274">
        <f t="shared" si="87"/>
        <v>-0.03980108677690064</v>
      </c>
      <c r="M199" s="274">
        <f t="shared" si="87"/>
        <v>0.03032621147528669</v>
      </c>
      <c r="N199" s="274">
        <f t="shared" si="87"/>
        <v>0.03186776071364705</v>
      </c>
      <c r="O199" s="274">
        <f t="shared" si="87"/>
        <v>0.032801563717866244</v>
      </c>
      <c r="P199" s="274">
        <f t="shared" si="87"/>
        <v>0.03194557431583189</v>
      </c>
      <c r="Q199" s="274">
        <f t="shared" si="87"/>
        <v>0.014840455733579061</v>
      </c>
      <c r="R199" s="274">
        <f t="shared" si="87"/>
        <v>0.020614343477773467</v>
      </c>
      <c r="S199" s="274">
        <f t="shared" si="87"/>
        <v>0.022669966501937644</v>
      </c>
      <c r="T199" s="274">
        <f t="shared" si="87"/>
        <v>0.029440109381788426</v>
      </c>
      <c r="U199" s="274" t="e">
        <f t="shared" si="87"/>
        <v>#REF!</v>
      </c>
      <c r="V199" s="274" t="e">
        <f t="shared" si="87"/>
        <v>#REF!</v>
      </c>
      <c r="W199" s="274" t="e">
        <f t="shared" si="87"/>
        <v>#REF!</v>
      </c>
      <c r="X199" s="274" t="e">
        <f t="shared" si="87"/>
        <v>#REF!</v>
      </c>
      <c r="Y199" s="274" t="e">
        <f t="shared" si="87"/>
        <v>#REF!</v>
      </c>
      <c r="Z199" s="274" t="e">
        <f t="shared" si="87"/>
        <v>#REF!</v>
      </c>
      <c r="AA199" s="274" t="e">
        <f t="shared" si="87"/>
        <v>#REF!</v>
      </c>
      <c r="AB199" s="274" t="e">
        <f t="shared" si="87"/>
        <v>#REF!</v>
      </c>
      <c r="AC199" s="274" t="e">
        <f t="shared" si="87"/>
        <v>#REF!</v>
      </c>
      <c r="AD199" s="274" t="e">
        <f t="shared" si="87"/>
        <v>#REF!</v>
      </c>
      <c r="AE199" s="274" t="e">
        <f t="shared" si="87"/>
        <v>#REF!</v>
      </c>
      <c r="AF199" s="274" t="e">
        <f t="shared" si="87"/>
        <v>#REF!</v>
      </c>
      <c r="AG199" s="274" t="e">
        <f t="shared" si="87"/>
        <v>#REF!</v>
      </c>
      <c r="AH199" s="274" t="e">
        <f t="shared" si="87"/>
        <v>#REF!</v>
      </c>
      <c r="AI199" s="274" t="e">
        <f t="shared" si="87"/>
        <v>#REF!</v>
      </c>
      <c r="AJ199" s="274" t="e">
        <f t="shared" si="87"/>
        <v>#REF!</v>
      </c>
      <c r="AK199" s="274" t="e">
        <f t="shared" si="87"/>
        <v>#REF!</v>
      </c>
      <c r="AL199" s="275" t="e">
        <f t="shared" si="87"/>
        <v>#REF!</v>
      </c>
      <c r="AM199" s="276"/>
    </row>
    <row r="200" spans="1:39" s="78" customFormat="1" ht="15" outlineLevel="2">
      <c r="A200" s="374"/>
      <c r="B200" s="189"/>
      <c r="C200" s="189"/>
      <c r="D200" s="202" t="s">
        <v>390</v>
      </c>
      <c r="E200" s="388" t="s">
        <v>31</v>
      </c>
      <c r="F200" s="234">
        <f aca="true" t="shared" si="88" ref="F200:AL200">+IF(F10=0,0,IF(E226&lt;&gt;0,F226/E226-1,0))</f>
        <v>-0.014576032140525386</v>
      </c>
      <c r="G200" s="234">
        <f t="shared" si="88"/>
        <v>0.028586821132745133</v>
      </c>
      <c r="H200" s="235">
        <f t="shared" si="88"/>
        <v>-0.08262944237705694</v>
      </c>
      <c r="I200" s="194">
        <f t="shared" si="88"/>
        <v>0.04788749507552681</v>
      </c>
      <c r="J200" s="195">
        <f t="shared" si="88"/>
        <v>-0.07938092101564886</v>
      </c>
      <c r="K200" s="195">
        <f t="shared" si="88"/>
        <v>0.0398664951468608</v>
      </c>
      <c r="L200" s="195">
        <f t="shared" si="88"/>
        <v>-0.03980108677690064</v>
      </c>
      <c r="M200" s="195">
        <f t="shared" si="88"/>
        <v>0.03032621147528669</v>
      </c>
      <c r="N200" s="195">
        <f t="shared" si="88"/>
        <v>0.03186776071364705</v>
      </c>
      <c r="O200" s="195">
        <f t="shared" si="88"/>
        <v>0.032801563717866244</v>
      </c>
      <c r="P200" s="195">
        <f t="shared" si="88"/>
        <v>0.03194557431583189</v>
      </c>
      <c r="Q200" s="195">
        <f t="shared" si="88"/>
        <v>0.014840455733579061</v>
      </c>
      <c r="R200" s="195">
        <f t="shared" si="88"/>
        <v>0.020614343477773467</v>
      </c>
      <c r="S200" s="195">
        <f t="shared" si="88"/>
        <v>0.022669966501937644</v>
      </c>
      <c r="T200" s="195">
        <f t="shared" si="88"/>
        <v>0.029440109381788426</v>
      </c>
      <c r="U200" s="195" t="e">
        <f t="shared" si="88"/>
        <v>#REF!</v>
      </c>
      <c r="V200" s="195" t="e">
        <f t="shared" si="88"/>
        <v>#REF!</v>
      </c>
      <c r="W200" s="195" t="e">
        <f t="shared" si="88"/>
        <v>#REF!</v>
      </c>
      <c r="X200" s="195" t="e">
        <f t="shared" si="88"/>
        <v>#REF!</v>
      </c>
      <c r="Y200" s="195" t="e">
        <f t="shared" si="88"/>
        <v>#REF!</v>
      </c>
      <c r="Z200" s="195" t="e">
        <f t="shared" si="88"/>
        <v>#REF!</v>
      </c>
      <c r="AA200" s="195" t="e">
        <f t="shared" si="88"/>
        <v>#REF!</v>
      </c>
      <c r="AB200" s="195" t="e">
        <f t="shared" si="88"/>
        <v>#REF!</v>
      </c>
      <c r="AC200" s="195" t="e">
        <f t="shared" si="88"/>
        <v>#REF!</v>
      </c>
      <c r="AD200" s="195" t="e">
        <f t="shared" si="88"/>
        <v>#REF!</v>
      </c>
      <c r="AE200" s="195" t="e">
        <f t="shared" si="88"/>
        <v>#REF!</v>
      </c>
      <c r="AF200" s="195" t="e">
        <f t="shared" si="88"/>
        <v>#REF!</v>
      </c>
      <c r="AG200" s="195" t="e">
        <f t="shared" si="88"/>
        <v>#REF!</v>
      </c>
      <c r="AH200" s="195" t="e">
        <f t="shared" si="88"/>
        <v>#REF!</v>
      </c>
      <c r="AI200" s="195" t="e">
        <f t="shared" si="88"/>
        <v>#REF!</v>
      </c>
      <c r="AJ200" s="195" t="e">
        <f t="shared" si="88"/>
        <v>#REF!</v>
      </c>
      <c r="AK200" s="195" t="e">
        <f t="shared" si="88"/>
        <v>#REF!</v>
      </c>
      <c r="AL200" s="196" t="e">
        <f t="shared" si="88"/>
        <v>#REF!</v>
      </c>
      <c r="AM200" s="175"/>
    </row>
    <row r="201" spans="1:39" s="78" customFormat="1" ht="14.25" outlineLevel="2">
      <c r="A201" s="374"/>
      <c r="B201" s="272"/>
      <c r="C201" s="272"/>
      <c r="D201" s="203" t="s">
        <v>37</v>
      </c>
      <c r="E201" s="390" t="s">
        <v>31</v>
      </c>
      <c r="F201" s="238">
        <f aca="true" t="shared" si="89" ref="F201:AL201">+IF(F10=0,0,IF(E227&lt;&gt;0,F227/E227-1,0))</f>
        <v>0.04490652969613551</v>
      </c>
      <c r="G201" s="238">
        <f t="shared" si="89"/>
        <v>0.16237486958894465</v>
      </c>
      <c r="H201" s="239">
        <f t="shared" si="89"/>
        <v>-0.04439953150212339</v>
      </c>
      <c r="I201" s="277">
        <f t="shared" si="89"/>
        <v>0.1359252132285511</v>
      </c>
      <c r="J201" s="278">
        <f t="shared" si="89"/>
        <v>-0.02713778623534846</v>
      </c>
      <c r="K201" s="278">
        <f t="shared" si="89"/>
        <v>0.013273230504648792</v>
      </c>
      <c r="L201" s="278">
        <f t="shared" si="89"/>
        <v>0.01840593296639037</v>
      </c>
      <c r="M201" s="278">
        <f t="shared" si="89"/>
        <v>0.017134524243529015</v>
      </c>
      <c r="N201" s="278">
        <f t="shared" si="89"/>
        <v>0.018125960061443847</v>
      </c>
      <c r="O201" s="278">
        <f t="shared" si="89"/>
        <v>0.0182558841279421</v>
      </c>
      <c r="P201" s="278">
        <f t="shared" si="89"/>
        <v>0.01743468168123674</v>
      </c>
      <c r="Q201" s="278">
        <f t="shared" si="89"/>
        <v>0.008689320388349575</v>
      </c>
      <c r="R201" s="278">
        <f t="shared" si="89"/>
        <v>0.008421964483372735</v>
      </c>
      <c r="S201" s="278">
        <f t="shared" si="89"/>
        <v>0.008685692469218242</v>
      </c>
      <c r="T201" s="278">
        <f t="shared" si="89"/>
        <v>0.008989401968205968</v>
      </c>
      <c r="U201" s="278" t="e">
        <f t="shared" si="89"/>
        <v>#REF!</v>
      </c>
      <c r="V201" s="278" t="e">
        <f t="shared" si="89"/>
        <v>#REF!</v>
      </c>
      <c r="W201" s="278" t="e">
        <f t="shared" si="89"/>
        <v>#REF!</v>
      </c>
      <c r="X201" s="278" t="e">
        <f t="shared" si="89"/>
        <v>#REF!</v>
      </c>
      <c r="Y201" s="278" t="e">
        <f t="shared" si="89"/>
        <v>#REF!</v>
      </c>
      <c r="Z201" s="278" t="e">
        <f t="shared" si="89"/>
        <v>#REF!</v>
      </c>
      <c r="AA201" s="278" t="e">
        <f t="shared" si="89"/>
        <v>#REF!</v>
      </c>
      <c r="AB201" s="278" t="e">
        <f t="shared" si="89"/>
        <v>#REF!</v>
      </c>
      <c r="AC201" s="278" t="e">
        <f t="shared" si="89"/>
        <v>#REF!</v>
      </c>
      <c r="AD201" s="278" t="e">
        <f t="shared" si="89"/>
        <v>#REF!</v>
      </c>
      <c r="AE201" s="278" t="e">
        <f t="shared" si="89"/>
        <v>#REF!</v>
      </c>
      <c r="AF201" s="278" t="e">
        <f t="shared" si="89"/>
        <v>#REF!</v>
      </c>
      <c r="AG201" s="278" t="e">
        <f t="shared" si="89"/>
        <v>#REF!</v>
      </c>
      <c r="AH201" s="278" t="e">
        <f t="shared" si="89"/>
        <v>#REF!</v>
      </c>
      <c r="AI201" s="278" t="e">
        <f t="shared" si="89"/>
        <v>#REF!</v>
      </c>
      <c r="AJ201" s="278" t="e">
        <f t="shared" si="89"/>
        <v>#REF!</v>
      </c>
      <c r="AK201" s="278" t="e">
        <f t="shared" si="89"/>
        <v>#REF!</v>
      </c>
      <c r="AL201" s="279" t="e">
        <f t="shared" si="89"/>
        <v>#REF!</v>
      </c>
      <c r="AM201" s="276"/>
    </row>
    <row r="202" spans="1:39" s="78" customFormat="1" ht="15" outlineLevel="2">
      <c r="A202" s="374"/>
      <c r="B202" s="189"/>
      <c r="C202" s="189"/>
      <c r="D202" s="197" t="s">
        <v>39</v>
      </c>
      <c r="E202" s="388" t="s">
        <v>31</v>
      </c>
      <c r="F202" s="234">
        <f aca="true" t="shared" si="90" ref="F202:AL202">+IF(F10=0,0,IF(E228&lt;&gt;0,F228/E228-1,0))</f>
        <v>0.04490652969613551</v>
      </c>
      <c r="G202" s="234">
        <f t="shared" si="90"/>
        <v>0.16237486958894465</v>
      </c>
      <c r="H202" s="235">
        <f t="shared" si="90"/>
        <v>-0.04439953150212339</v>
      </c>
      <c r="I202" s="194">
        <f t="shared" si="90"/>
        <v>0.1318639317885295</v>
      </c>
      <c r="J202" s="195">
        <f t="shared" si="90"/>
        <v>-0.023647024544393935</v>
      </c>
      <c r="K202" s="195">
        <f t="shared" si="90"/>
        <v>0.013273230504648792</v>
      </c>
      <c r="L202" s="195">
        <f t="shared" si="90"/>
        <v>0.01840593296639037</v>
      </c>
      <c r="M202" s="195">
        <f t="shared" si="90"/>
        <v>0.017134524243529015</v>
      </c>
      <c r="N202" s="195">
        <f t="shared" si="90"/>
        <v>0.018125960061443847</v>
      </c>
      <c r="O202" s="195">
        <f t="shared" si="90"/>
        <v>0.0182558841279421</v>
      </c>
      <c r="P202" s="195">
        <f t="shared" si="90"/>
        <v>0.01743468168123674</v>
      </c>
      <c r="Q202" s="195">
        <f t="shared" si="90"/>
        <v>0.008689320388349575</v>
      </c>
      <c r="R202" s="195">
        <f t="shared" si="90"/>
        <v>0.008421964483372735</v>
      </c>
      <c r="S202" s="195">
        <f t="shared" si="90"/>
        <v>0.008685692469218242</v>
      </c>
      <c r="T202" s="195">
        <f t="shared" si="90"/>
        <v>0.008989401968205968</v>
      </c>
      <c r="U202" s="195" t="e">
        <f t="shared" si="90"/>
        <v>#REF!</v>
      </c>
      <c r="V202" s="195" t="e">
        <f t="shared" si="90"/>
        <v>#REF!</v>
      </c>
      <c r="W202" s="195" t="e">
        <f t="shared" si="90"/>
        <v>#REF!</v>
      </c>
      <c r="X202" s="195" t="e">
        <f t="shared" si="90"/>
        <v>#REF!</v>
      </c>
      <c r="Y202" s="195" t="e">
        <f t="shared" si="90"/>
        <v>#REF!</v>
      </c>
      <c r="Z202" s="195" t="e">
        <f t="shared" si="90"/>
        <v>#REF!</v>
      </c>
      <c r="AA202" s="195" t="e">
        <f t="shared" si="90"/>
        <v>#REF!</v>
      </c>
      <c r="AB202" s="195" t="e">
        <f t="shared" si="90"/>
        <v>#REF!</v>
      </c>
      <c r="AC202" s="195" t="e">
        <f t="shared" si="90"/>
        <v>#REF!</v>
      </c>
      <c r="AD202" s="195" t="e">
        <f t="shared" si="90"/>
        <v>#REF!</v>
      </c>
      <c r="AE202" s="195" t="e">
        <f t="shared" si="90"/>
        <v>#REF!</v>
      </c>
      <c r="AF202" s="195" t="e">
        <f t="shared" si="90"/>
        <v>#REF!</v>
      </c>
      <c r="AG202" s="195" t="e">
        <f t="shared" si="90"/>
        <v>#REF!</v>
      </c>
      <c r="AH202" s="195" t="e">
        <f t="shared" si="90"/>
        <v>#REF!</v>
      </c>
      <c r="AI202" s="195" t="e">
        <f t="shared" si="90"/>
        <v>#REF!</v>
      </c>
      <c r="AJ202" s="195" t="e">
        <f t="shared" si="90"/>
        <v>#REF!</v>
      </c>
      <c r="AK202" s="195" t="e">
        <f t="shared" si="90"/>
        <v>#REF!</v>
      </c>
      <c r="AL202" s="196" t="e">
        <f t="shared" si="90"/>
        <v>#REF!</v>
      </c>
      <c r="AM202" s="175"/>
    </row>
    <row r="203" spans="1:39" s="78" customFormat="1" ht="15" outlineLevel="2">
      <c r="A203" s="374"/>
      <c r="B203" s="189"/>
      <c r="C203" s="189"/>
      <c r="D203" s="197" t="s">
        <v>38</v>
      </c>
      <c r="E203" s="388" t="s">
        <v>31</v>
      </c>
      <c r="F203" s="234">
        <f aca="true" t="shared" si="91" ref="F203:AL203">+IF(F10=0,0,IF(E229&lt;&gt;0,F229/E229-1,0))</f>
        <v>0.0847457627118644</v>
      </c>
      <c r="G203" s="234">
        <f t="shared" si="91"/>
        <v>0.08161298750000001</v>
      </c>
      <c r="H203" s="235">
        <f t="shared" si="91"/>
        <v>-1</v>
      </c>
      <c r="I203" s="194">
        <f t="shared" si="91"/>
        <v>0</v>
      </c>
      <c r="J203" s="195">
        <f t="shared" si="91"/>
        <v>0.021094638391953024</v>
      </c>
      <c r="K203" s="195">
        <f t="shared" si="91"/>
        <v>0.020099224017300577</v>
      </c>
      <c r="L203" s="195">
        <f t="shared" si="91"/>
        <v>0.019952612545205195</v>
      </c>
      <c r="M203" s="195">
        <f t="shared" si="91"/>
        <v>-1</v>
      </c>
      <c r="N203" s="195">
        <f t="shared" si="91"/>
        <v>0</v>
      </c>
      <c r="O203" s="195">
        <f t="shared" si="91"/>
        <v>0</v>
      </c>
      <c r="P203" s="195">
        <f t="shared" si="91"/>
        <v>0</v>
      </c>
      <c r="Q203" s="195">
        <f t="shared" si="91"/>
        <v>0</v>
      </c>
      <c r="R203" s="195">
        <f t="shared" si="91"/>
        <v>0</v>
      </c>
      <c r="S203" s="195">
        <f t="shared" si="91"/>
        <v>0</v>
      </c>
      <c r="T203" s="195">
        <f t="shared" si="91"/>
        <v>0</v>
      </c>
      <c r="U203" s="195" t="e">
        <f t="shared" si="91"/>
        <v>#REF!</v>
      </c>
      <c r="V203" s="195" t="e">
        <f t="shared" si="91"/>
        <v>#REF!</v>
      </c>
      <c r="W203" s="195" t="e">
        <f t="shared" si="91"/>
        <v>#REF!</v>
      </c>
      <c r="X203" s="195" t="e">
        <f t="shared" si="91"/>
        <v>#REF!</v>
      </c>
      <c r="Y203" s="195" t="e">
        <f t="shared" si="91"/>
        <v>#REF!</v>
      </c>
      <c r="Z203" s="195" t="e">
        <f t="shared" si="91"/>
        <v>#REF!</v>
      </c>
      <c r="AA203" s="195" t="e">
        <f t="shared" si="91"/>
        <v>#REF!</v>
      </c>
      <c r="AB203" s="195" t="e">
        <f t="shared" si="91"/>
        <v>#REF!</v>
      </c>
      <c r="AC203" s="195" t="e">
        <f t="shared" si="91"/>
        <v>#REF!</v>
      </c>
      <c r="AD203" s="195" t="e">
        <f t="shared" si="91"/>
        <v>#REF!</v>
      </c>
      <c r="AE203" s="195" t="e">
        <f t="shared" si="91"/>
        <v>#REF!</v>
      </c>
      <c r="AF203" s="195" t="e">
        <f t="shared" si="91"/>
        <v>#REF!</v>
      </c>
      <c r="AG203" s="195" t="e">
        <f t="shared" si="91"/>
        <v>#REF!</v>
      </c>
      <c r="AH203" s="195" t="e">
        <f t="shared" si="91"/>
        <v>#REF!</v>
      </c>
      <c r="AI203" s="195" t="e">
        <f t="shared" si="91"/>
        <v>#REF!</v>
      </c>
      <c r="AJ203" s="195" t="e">
        <f t="shared" si="91"/>
        <v>#REF!</v>
      </c>
      <c r="AK203" s="195" t="e">
        <f t="shared" si="91"/>
        <v>#REF!</v>
      </c>
      <c r="AL203" s="196" t="e">
        <f t="shared" si="91"/>
        <v>#REF!</v>
      </c>
      <c r="AM203" s="175"/>
    </row>
    <row r="204" spans="1:39" s="78" customFormat="1" ht="24" outlineLevel="2">
      <c r="A204" s="374"/>
      <c r="B204" s="189"/>
      <c r="C204" s="189"/>
      <c r="D204" s="198" t="s">
        <v>389</v>
      </c>
      <c r="E204" s="391" t="s">
        <v>31</v>
      </c>
      <c r="F204" s="240">
        <f aca="true" t="shared" si="92" ref="F204:AL204">+IF(F10=0,0,IF(E230&lt;&gt;0,F230/E230-1,0))</f>
        <v>0.006303284705989176</v>
      </c>
      <c r="G204" s="240">
        <f t="shared" si="92"/>
        <v>0.2217221468613908</v>
      </c>
      <c r="H204" s="241">
        <f t="shared" si="92"/>
        <v>0.4525824264629317</v>
      </c>
      <c r="I204" s="204">
        <f t="shared" si="92"/>
        <v>-0.3729280638564648</v>
      </c>
      <c r="J204" s="205">
        <f t="shared" si="92"/>
        <v>-0.07192675948545713</v>
      </c>
      <c r="K204" s="205">
        <f t="shared" si="92"/>
        <v>0.016274270433670468</v>
      </c>
      <c r="L204" s="205">
        <f t="shared" si="92"/>
        <v>0.018536261687054356</v>
      </c>
      <c r="M204" s="205">
        <f t="shared" si="92"/>
        <v>1.1616309109289005</v>
      </c>
      <c r="N204" s="205">
        <f t="shared" si="92"/>
        <v>0.020524811639386797</v>
      </c>
      <c r="O204" s="205">
        <f t="shared" si="92"/>
        <v>0.02062118126272905</v>
      </c>
      <c r="P204" s="205">
        <f t="shared" si="92"/>
        <v>0.019555999002244917</v>
      </c>
      <c r="Q204" s="205">
        <f t="shared" si="92"/>
        <v>0.010373342467093982</v>
      </c>
      <c r="R204" s="205">
        <f t="shared" si="92"/>
        <v>0.010412126495229712</v>
      </c>
      <c r="S204" s="205">
        <f t="shared" si="92"/>
        <v>0.010592407975460016</v>
      </c>
      <c r="T204" s="205">
        <f t="shared" si="92"/>
        <v>0.0105762390324875</v>
      </c>
      <c r="U204" s="205" t="e">
        <f t="shared" si="92"/>
        <v>#REF!</v>
      </c>
      <c r="V204" s="205" t="e">
        <f t="shared" si="92"/>
        <v>#REF!</v>
      </c>
      <c r="W204" s="205" t="e">
        <f t="shared" si="92"/>
        <v>#REF!</v>
      </c>
      <c r="X204" s="205" t="e">
        <f t="shared" si="92"/>
        <v>#REF!</v>
      </c>
      <c r="Y204" s="205" t="e">
        <f t="shared" si="92"/>
        <v>#REF!</v>
      </c>
      <c r="Z204" s="205" t="e">
        <f t="shared" si="92"/>
        <v>#REF!</v>
      </c>
      <c r="AA204" s="205" t="e">
        <f t="shared" si="92"/>
        <v>#REF!</v>
      </c>
      <c r="AB204" s="205" t="e">
        <f t="shared" si="92"/>
        <v>#REF!</v>
      </c>
      <c r="AC204" s="205" t="e">
        <f t="shared" si="92"/>
        <v>#REF!</v>
      </c>
      <c r="AD204" s="205" t="e">
        <f t="shared" si="92"/>
        <v>#REF!</v>
      </c>
      <c r="AE204" s="205" t="e">
        <f t="shared" si="92"/>
        <v>#REF!</v>
      </c>
      <c r="AF204" s="205" t="e">
        <f t="shared" si="92"/>
        <v>#REF!</v>
      </c>
      <c r="AG204" s="205" t="e">
        <f t="shared" si="92"/>
        <v>#REF!</v>
      </c>
      <c r="AH204" s="205" t="e">
        <f t="shared" si="92"/>
        <v>#REF!</v>
      </c>
      <c r="AI204" s="205" t="e">
        <f t="shared" si="92"/>
        <v>#REF!</v>
      </c>
      <c r="AJ204" s="205" t="e">
        <f t="shared" si="92"/>
        <v>#REF!</v>
      </c>
      <c r="AK204" s="205" t="e">
        <f t="shared" si="92"/>
        <v>#REF!</v>
      </c>
      <c r="AL204" s="206" t="e">
        <f t="shared" si="92"/>
        <v>#REF!</v>
      </c>
      <c r="AM204" s="175"/>
    </row>
    <row r="205" spans="1:39" s="78" customFormat="1" ht="24" outlineLevel="1">
      <c r="A205" s="374"/>
      <c r="B205" s="189"/>
      <c r="C205" s="189"/>
      <c r="D205" s="303" t="s">
        <v>440</v>
      </c>
      <c r="E205" s="207"/>
      <c r="F205" s="207"/>
      <c r="G205" s="416" t="s">
        <v>478</v>
      </c>
      <c r="H205" s="416" t="s">
        <v>477</v>
      </c>
      <c r="I205" s="208"/>
      <c r="J205" s="208"/>
      <c r="K205" s="208"/>
      <c r="L205" s="208"/>
      <c r="M205" s="208"/>
      <c r="N205" s="208"/>
      <c r="O205" s="208"/>
      <c r="P205" s="208"/>
      <c r="Q205" s="208"/>
      <c r="R205" s="208"/>
      <c r="S205" s="208"/>
      <c r="T205" s="208"/>
      <c r="U205" s="208"/>
      <c r="V205" s="208"/>
      <c r="W205" s="208"/>
      <c r="X205" s="208"/>
      <c r="Y205" s="208"/>
      <c r="Z205" s="208"/>
      <c r="AA205" s="208"/>
      <c r="AB205" s="208"/>
      <c r="AC205" s="208"/>
      <c r="AD205" s="208"/>
      <c r="AE205" s="208"/>
      <c r="AF205" s="208"/>
      <c r="AG205" s="208"/>
      <c r="AH205" s="208"/>
      <c r="AI205" s="208"/>
      <c r="AJ205" s="208"/>
      <c r="AK205" s="208"/>
      <c r="AL205" s="208"/>
      <c r="AM205" s="175"/>
    </row>
    <row r="206" spans="1:39" s="78" customFormat="1" ht="14.25" outlineLevel="2">
      <c r="A206" s="374"/>
      <c r="B206" s="272"/>
      <c r="C206" s="272"/>
      <c r="D206" s="190" t="s">
        <v>26</v>
      </c>
      <c r="E206" s="392" t="s">
        <v>31</v>
      </c>
      <c r="F206" s="259">
        <f aca="true" t="shared" si="93" ref="F206:AL211">+IF(F$219=0,"",F219-E219)</f>
        <v>1643935.629999999</v>
      </c>
      <c r="G206" s="259">
        <f t="shared" si="93"/>
        <v>6659508.93</v>
      </c>
      <c r="H206" s="260">
        <f t="shared" si="93"/>
        <v>-1353200.419999998</v>
      </c>
      <c r="I206" s="280">
        <f t="shared" si="93"/>
        <v>-2618978.240000002</v>
      </c>
      <c r="J206" s="281">
        <f t="shared" si="93"/>
        <v>-2175311.34</v>
      </c>
      <c r="K206" s="281">
        <f t="shared" si="93"/>
        <v>1128955</v>
      </c>
      <c r="L206" s="281">
        <f t="shared" si="93"/>
        <v>-279000</v>
      </c>
      <c r="M206" s="281">
        <f t="shared" si="93"/>
        <v>600000</v>
      </c>
      <c r="N206" s="281">
        <f t="shared" si="93"/>
        <v>600000</v>
      </c>
      <c r="O206" s="281">
        <f t="shared" si="93"/>
        <v>600000</v>
      </c>
      <c r="P206" s="281">
        <f t="shared" si="93"/>
        <v>500000</v>
      </c>
      <c r="Q206" s="281">
        <f t="shared" si="93"/>
        <v>468000</v>
      </c>
      <c r="R206" s="281">
        <f t="shared" si="93"/>
        <v>469000</v>
      </c>
      <c r="S206" s="281">
        <f t="shared" si="93"/>
        <v>479000</v>
      </c>
      <c r="T206" s="281">
        <f t="shared" si="93"/>
        <v>484000</v>
      </c>
      <c r="U206" s="281" t="e">
        <f t="shared" si="93"/>
        <v>#REF!</v>
      </c>
      <c r="V206" s="281" t="e">
        <f t="shared" si="93"/>
        <v>#REF!</v>
      </c>
      <c r="W206" s="281" t="e">
        <f t="shared" si="93"/>
        <v>#REF!</v>
      </c>
      <c r="X206" s="281" t="e">
        <f t="shared" si="93"/>
        <v>#REF!</v>
      </c>
      <c r="Y206" s="281" t="e">
        <f t="shared" si="93"/>
        <v>#REF!</v>
      </c>
      <c r="Z206" s="281" t="e">
        <f t="shared" si="93"/>
        <v>#REF!</v>
      </c>
      <c r="AA206" s="281" t="e">
        <f t="shared" si="93"/>
        <v>#REF!</v>
      </c>
      <c r="AB206" s="281" t="e">
        <f t="shared" si="93"/>
        <v>#REF!</v>
      </c>
      <c r="AC206" s="281" t="e">
        <f t="shared" si="93"/>
        <v>#REF!</v>
      </c>
      <c r="AD206" s="281" t="e">
        <f t="shared" si="93"/>
        <v>#REF!</v>
      </c>
      <c r="AE206" s="281" t="e">
        <f t="shared" si="93"/>
        <v>#REF!</v>
      </c>
      <c r="AF206" s="281" t="e">
        <f t="shared" si="93"/>
        <v>#REF!</v>
      </c>
      <c r="AG206" s="281" t="e">
        <f t="shared" si="93"/>
        <v>#REF!</v>
      </c>
      <c r="AH206" s="281" t="e">
        <f t="shared" si="93"/>
        <v>#REF!</v>
      </c>
      <c r="AI206" s="281" t="e">
        <f t="shared" si="93"/>
        <v>#REF!</v>
      </c>
      <c r="AJ206" s="281" t="e">
        <f t="shared" si="93"/>
        <v>#REF!</v>
      </c>
      <c r="AK206" s="281" t="e">
        <f t="shared" si="93"/>
        <v>#REF!</v>
      </c>
      <c r="AL206" s="282" t="e">
        <f t="shared" si="93"/>
        <v>#REF!</v>
      </c>
      <c r="AM206" s="276"/>
    </row>
    <row r="207" spans="1:39" s="78" customFormat="1" ht="15" outlineLevel="2">
      <c r="A207" s="374"/>
      <c r="B207" s="189"/>
      <c r="C207" s="189"/>
      <c r="D207" s="193" t="s">
        <v>391</v>
      </c>
      <c r="E207" s="393" t="s">
        <v>31</v>
      </c>
      <c r="F207" s="264">
        <f t="shared" si="93"/>
        <v>1643935.629999999</v>
      </c>
      <c r="G207" s="264">
        <f t="shared" si="93"/>
        <v>6659508.93</v>
      </c>
      <c r="H207" s="265">
        <f t="shared" si="93"/>
        <v>-1353200.419999998</v>
      </c>
      <c r="I207" s="212">
        <f t="shared" si="93"/>
        <v>-3939660.5600000024</v>
      </c>
      <c r="J207" s="213">
        <f t="shared" si="93"/>
        <v>-854629.0199999996</v>
      </c>
      <c r="K207" s="213">
        <f t="shared" si="93"/>
        <v>1128955</v>
      </c>
      <c r="L207" s="213">
        <f t="shared" si="93"/>
        <v>-279000</v>
      </c>
      <c r="M207" s="213">
        <f t="shared" si="93"/>
        <v>600000</v>
      </c>
      <c r="N207" s="213">
        <f t="shared" si="93"/>
        <v>600000</v>
      </c>
      <c r="O207" s="213">
        <f t="shared" si="93"/>
        <v>600000</v>
      </c>
      <c r="P207" s="213">
        <f t="shared" si="93"/>
        <v>500000</v>
      </c>
      <c r="Q207" s="213">
        <f t="shared" si="93"/>
        <v>468000</v>
      </c>
      <c r="R207" s="213">
        <f t="shared" si="93"/>
        <v>469000</v>
      </c>
      <c r="S207" s="213">
        <f t="shared" si="93"/>
        <v>479000</v>
      </c>
      <c r="T207" s="213">
        <f t="shared" si="93"/>
        <v>484000</v>
      </c>
      <c r="U207" s="213" t="e">
        <f t="shared" si="93"/>
        <v>#REF!</v>
      </c>
      <c r="V207" s="213" t="e">
        <f t="shared" si="93"/>
        <v>#REF!</v>
      </c>
      <c r="W207" s="213" t="e">
        <f t="shared" si="93"/>
        <v>#REF!</v>
      </c>
      <c r="X207" s="213" t="e">
        <f t="shared" si="93"/>
        <v>#REF!</v>
      </c>
      <c r="Y207" s="213" t="e">
        <f t="shared" si="93"/>
        <v>#REF!</v>
      </c>
      <c r="Z207" s="213" t="e">
        <f t="shared" si="93"/>
        <v>#REF!</v>
      </c>
      <c r="AA207" s="213" t="e">
        <f t="shared" si="93"/>
        <v>#REF!</v>
      </c>
      <c r="AB207" s="213" t="e">
        <f t="shared" si="93"/>
        <v>#REF!</v>
      </c>
      <c r="AC207" s="213" t="e">
        <f t="shared" si="93"/>
        <v>#REF!</v>
      </c>
      <c r="AD207" s="213" t="e">
        <f t="shared" si="93"/>
        <v>#REF!</v>
      </c>
      <c r="AE207" s="213" t="e">
        <f t="shared" si="93"/>
        <v>#REF!</v>
      </c>
      <c r="AF207" s="213" t="e">
        <f t="shared" si="93"/>
        <v>#REF!</v>
      </c>
      <c r="AG207" s="213" t="e">
        <f t="shared" si="93"/>
        <v>#REF!</v>
      </c>
      <c r="AH207" s="213" t="e">
        <f t="shared" si="93"/>
        <v>#REF!</v>
      </c>
      <c r="AI207" s="213" t="e">
        <f t="shared" si="93"/>
        <v>#REF!</v>
      </c>
      <c r="AJ207" s="213" t="e">
        <f t="shared" si="93"/>
        <v>#REF!</v>
      </c>
      <c r="AK207" s="213" t="e">
        <f t="shared" si="93"/>
        <v>#REF!</v>
      </c>
      <c r="AL207" s="214" t="e">
        <f t="shared" si="93"/>
        <v>#REF!</v>
      </c>
      <c r="AM207" s="175"/>
    </row>
    <row r="208" spans="1:39" s="78" customFormat="1" ht="15" outlineLevel="2">
      <c r="A208" s="374"/>
      <c r="B208" s="189"/>
      <c r="C208" s="189"/>
      <c r="D208" s="197" t="s">
        <v>392</v>
      </c>
      <c r="E208" s="394" t="s">
        <v>31</v>
      </c>
      <c r="F208" s="266">
        <f t="shared" si="93"/>
        <v>2044513.33</v>
      </c>
      <c r="G208" s="266">
        <f t="shared" si="93"/>
        <v>-267912.26999999955</v>
      </c>
      <c r="H208" s="267">
        <f t="shared" si="93"/>
        <v>92075.03000000119</v>
      </c>
      <c r="I208" s="212">
        <f t="shared" si="93"/>
        <v>1383701.9899999984</v>
      </c>
      <c r="J208" s="213">
        <f t="shared" si="93"/>
        <v>181829.98000000045</v>
      </c>
      <c r="K208" s="213">
        <f t="shared" si="93"/>
        <v>799955</v>
      </c>
      <c r="L208" s="213">
        <f t="shared" si="93"/>
        <v>600000</v>
      </c>
      <c r="M208" s="213">
        <f t="shared" si="93"/>
        <v>600000</v>
      </c>
      <c r="N208" s="213">
        <f t="shared" si="93"/>
        <v>600000</v>
      </c>
      <c r="O208" s="213">
        <f t="shared" si="93"/>
        <v>600000</v>
      </c>
      <c r="P208" s="213">
        <f t="shared" si="93"/>
        <v>500000</v>
      </c>
      <c r="Q208" s="213">
        <f t="shared" si="93"/>
        <v>468000</v>
      </c>
      <c r="R208" s="213">
        <f t="shared" si="93"/>
        <v>469000</v>
      </c>
      <c r="S208" s="213">
        <f t="shared" si="93"/>
        <v>479000</v>
      </c>
      <c r="T208" s="213">
        <f t="shared" si="93"/>
        <v>484000</v>
      </c>
      <c r="U208" s="213" t="e">
        <f t="shared" si="93"/>
        <v>#REF!</v>
      </c>
      <c r="V208" s="213" t="e">
        <f t="shared" si="93"/>
        <v>#REF!</v>
      </c>
      <c r="W208" s="213" t="e">
        <f t="shared" si="93"/>
        <v>#REF!</v>
      </c>
      <c r="X208" s="213" t="e">
        <f t="shared" si="93"/>
        <v>#REF!</v>
      </c>
      <c r="Y208" s="213" t="e">
        <f t="shared" si="93"/>
        <v>#REF!</v>
      </c>
      <c r="Z208" s="213" t="e">
        <f t="shared" si="93"/>
        <v>#REF!</v>
      </c>
      <c r="AA208" s="213" t="e">
        <f t="shared" si="93"/>
        <v>#REF!</v>
      </c>
      <c r="AB208" s="213" t="e">
        <f t="shared" si="93"/>
        <v>#REF!</v>
      </c>
      <c r="AC208" s="213" t="e">
        <f t="shared" si="93"/>
        <v>#REF!</v>
      </c>
      <c r="AD208" s="213" t="e">
        <f t="shared" si="93"/>
        <v>#REF!</v>
      </c>
      <c r="AE208" s="213" t="e">
        <f t="shared" si="93"/>
        <v>#REF!</v>
      </c>
      <c r="AF208" s="213" t="e">
        <f t="shared" si="93"/>
        <v>#REF!</v>
      </c>
      <c r="AG208" s="213" t="e">
        <f t="shared" si="93"/>
        <v>#REF!</v>
      </c>
      <c r="AH208" s="213" t="e">
        <f t="shared" si="93"/>
        <v>#REF!</v>
      </c>
      <c r="AI208" s="213" t="e">
        <f t="shared" si="93"/>
        <v>#REF!</v>
      </c>
      <c r="AJ208" s="213" t="e">
        <f t="shared" si="93"/>
        <v>#REF!</v>
      </c>
      <c r="AK208" s="213" t="e">
        <f t="shared" si="93"/>
        <v>#REF!</v>
      </c>
      <c r="AL208" s="214" t="e">
        <f t="shared" si="93"/>
        <v>#REF!</v>
      </c>
      <c r="AM208" s="175"/>
    </row>
    <row r="209" spans="1:39" s="78" customFormat="1" ht="15" outlineLevel="2">
      <c r="A209" s="374"/>
      <c r="B209" s="189"/>
      <c r="C209" s="189"/>
      <c r="D209" s="197" t="s">
        <v>393</v>
      </c>
      <c r="E209" s="394" t="s">
        <v>31</v>
      </c>
      <c r="F209" s="266">
        <f t="shared" si="93"/>
        <v>-400577.69999999995</v>
      </c>
      <c r="G209" s="266">
        <f t="shared" si="93"/>
        <v>6927421.2</v>
      </c>
      <c r="H209" s="267">
        <f t="shared" si="93"/>
        <v>-1445275.4500000002</v>
      </c>
      <c r="I209" s="212">
        <f t="shared" si="93"/>
        <v>-5323362.55</v>
      </c>
      <c r="J209" s="213">
        <f t="shared" si="93"/>
        <v>-1036459</v>
      </c>
      <c r="K209" s="213">
        <f t="shared" si="93"/>
        <v>329000</v>
      </c>
      <c r="L209" s="213">
        <f t="shared" si="93"/>
        <v>-879000</v>
      </c>
      <c r="M209" s="213">
        <f t="shared" si="93"/>
        <v>0</v>
      </c>
      <c r="N209" s="213">
        <f t="shared" si="93"/>
        <v>0</v>
      </c>
      <c r="O209" s="213">
        <f t="shared" si="93"/>
        <v>0</v>
      </c>
      <c r="P209" s="213">
        <f t="shared" si="93"/>
        <v>0</v>
      </c>
      <c r="Q209" s="213">
        <f t="shared" si="93"/>
        <v>0</v>
      </c>
      <c r="R209" s="213">
        <f t="shared" si="93"/>
        <v>0</v>
      </c>
      <c r="S209" s="213">
        <f t="shared" si="93"/>
        <v>0</v>
      </c>
      <c r="T209" s="213">
        <f t="shared" si="93"/>
        <v>0</v>
      </c>
      <c r="U209" s="213" t="e">
        <f t="shared" si="93"/>
        <v>#REF!</v>
      </c>
      <c r="V209" s="213" t="e">
        <f t="shared" si="93"/>
        <v>#REF!</v>
      </c>
      <c r="W209" s="213" t="e">
        <f t="shared" si="93"/>
        <v>#REF!</v>
      </c>
      <c r="X209" s="213" t="e">
        <f t="shared" si="93"/>
        <v>#REF!</v>
      </c>
      <c r="Y209" s="213" t="e">
        <f t="shared" si="93"/>
        <v>#REF!</v>
      </c>
      <c r="Z209" s="213" t="e">
        <f t="shared" si="93"/>
        <v>#REF!</v>
      </c>
      <c r="AA209" s="213" t="e">
        <f t="shared" si="93"/>
        <v>#REF!</v>
      </c>
      <c r="AB209" s="213" t="e">
        <f t="shared" si="93"/>
        <v>#REF!</v>
      </c>
      <c r="AC209" s="213" t="e">
        <f t="shared" si="93"/>
        <v>#REF!</v>
      </c>
      <c r="AD209" s="213" t="e">
        <f t="shared" si="93"/>
        <v>#REF!</v>
      </c>
      <c r="AE209" s="213" t="e">
        <f t="shared" si="93"/>
        <v>#REF!</v>
      </c>
      <c r="AF209" s="213" t="e">
        <f t="shared" si="93"/>
        <v>#REF!</v>
      </c>
      <c r="AG209" s="213" t="e">
        <f t="shared" si="93"/>
        <v>#REF!</v>
      </c>
      <c r="AH209" s="213" t="e">
        <f t="shared" si="93"/>
        <v>#REF!</v>
      </c>
      <c r="AI209" s="213" t="e">
        <f t="shared" si="93"/>
        <v>#REF!</v>
      </c>
      <c r="AJ209" s="213" t="e">
        <f t="shared" si="93"/>
        <v>#REF!</v>
      </c>
      <c r="AK209" s="213" t="e">
        <f t="shared" si="93"/>
        <v>#REF!</v>
      </c>
      <c r="AL209" s="214" t="e">
        <f t="shared" si="93"/>
        <v>#REF!</v>
      </c>
      <c r="AM209" s="175"/>
    </row>
    <row r="210" spans="1:39" s="78" customFormat="1" ht="24" outlineLevel="2">
      <c r="A210" s="374"/>
      <c r="B210" s="189"/>
      <c r="C210" s="189"/>
      <c r="D210" s="197" t="s">
        <v>394</v>
      </c>
      <c r="E210" s="394" t="s">
        <v>31</v>
      </c>
      <c r="F210" s="266">
        <f t="shared" si="93"/>
        <v>-275137.8800000001</v>
      </c>
      <c r="G210" s="266">
        <f t="shared" si="93"/>
        <v>4692513.22</v>
      </c>
      <c r="H210" s="267">
        <f t="shared" si="93"/>
        <v>-845139.75</v>
      </c>
      <c r="I210" s="212">
        <f t="shared" si="93"/>
        <v>-4521994.25</v>
      </c>
      <c r="J210" s="213">
        <f t="shared" si="93"/>
        <v>-143263</v>
      </c>
      <c r="K210" s="213">
        <f t="shared" si="93"/>
        <v>553000</v>
      </c>
      <c r="L210" s="213">
        <f t="shared" si="93"/>
        <v>-553000</v>
      </c>
      <c r="M210" s="213">
        <f t="shared" si="93"/>
        <v>0</v>
      </c>
      <c r="N210" s="213">
        <f t="shared" si="93"/>
        <v>0</v>
      </c>
      <c r="O210" s="213">
        <f t="shared" si="93"/>
        <v>0</v>
      </c>
      <c r="P210" s="213">
        <f t="shared" si="93"/>
        <v>0</v>
      </c>
      <c r="Q210" s="213">
        <f t="shared" si="93"/>
        <v>0</v>
      </c>
      <c r="R210" s="213">
        <f t="shared" si="93"/>
        <v>0</v>
      </c>
      <c r="S210" s="213">
        <f t="shared" si="93"/>
        <v>0</v>
      </c>
      <c r="T210" s="213">
        <f t="shared" si="93"/>
        <v>0</v>
      </c>
      <c r="U210" s="213" t="e">
        <f t="shared" si="93"/>
        <v>#REF!</v>
      </c>
      <c r="V210" s="213" t="e">
        <f t="shared" si="93"/>
        <v>#REF!</v>
      </c>
      <c r="W210" s="213" t="e">
        <f t="shared" si="93"/>
        <v>#REF!</v>
      </c>
      <c r="X210" s="213" t="e">
        <f t="shared" si="93"/>
        <v>#REF!</v>
      </c>
      <c r="Y210" s="213" t="e">
        <f t="shared" si="93"/>
        <v>#REF!</v>
      </c>
      <c r="Z210" s="213" t="e">
        <f t="shared" si="93"/>
        <v>#REF!</v>
      </c>
      <c r="AA210" s="213" t="e">
        <f t="shared" si="93"/>
        <v>#REF!</v>
      </c>
      <c r="AB210" s="213" t="e">
        <f t="shared" si="93"/>
        <v>#REF!</v>
      </c>
      <c r="AC210" s="213" t="e">
        <f t="shared" si="93"/>
        <v>#REF!</v>
      </c>
      <c r="AD210" s="213" t="e">
        <f t="shared" si="93"/>
        <v>#REF!</v>
      </c>
      <c r="AE210" s="213" t="e">
        <f t="shared" si="93"/>
        <v>#REF!</v>
      </c>
      <c r="AF210" s="213" t="e">
        <f t="shared" si="93"/>
        <v>#REF!</v>
      </c>
      <c r="AG210" s="213" t="e">
        <f t="shared" si="93"/>
        <v>#REF!</v>
      </c>
      <c r="AH210" s="213" t="e">
        <f t="shared" si="93"/>
        <v>#REF!</v>
      </c>
      <c r="AI210" s="213" t="e">
        <f t="shared" si="93"/>
        <v>#REF!</v>
      </c>
      <c r="AJ210" s="213" t="e">
        <f t="shared" si="93"/>
        <v>#REF!</v>
      </c>
      <c r="AK210" s="213" t="e">
        <f t="shared" si="93"/>
        <v>#REF!</v>
      </c>
      <c r="AL210" s="214" t="e">
        <f t="shared" si="93"/>
        <v>#REF!</v>
      </c>
      <c r="AM210" s="175"/>
    </row>
    <row r="211" spans="1:39" s="78" customFormat="1" ht="15" outlineLevel="2">
      <c r="A211" s="374"/>
      <c r="B211" s="189"/>
      <c r="C211" s="189"/>
      <c r="D211" s="198" t="s">
        <v>36</v>
      </c>
      <c r="E211" s="395" t="s">
        <v>31</v>
      </c>
      <c r="F211" s="268">
        <f t="shared" si="93"/>
        <v>-125439.81999999995</v>
      </c>
      <c r="G211" s="268">
        <f t="shared" si="93"/>
        <v>2234907.98</v>
      </c>
      <c r="H211" s="269">
        <f t="shared" si="93"/>
        <v>-600135.7000000002</v>
      </c>
      <c r="I211" s="215">
        <f t="shared" si="93"/>
        <v>-801368.2999999998</v>
      </c>
      <c r="J211" s="216">
        <f t="shared" si="93"/>
        <v>-893196</v>
      </c>
      <c r="K211" s="216">
        <f t="shared" si="93"/>
        <v>-224000</v>
      </c>
      <c r="L211" s="216">
        <f t="shared" si="93"/>
        <v>-326000</v>
      </c>
      <c r="M211" s="216">
        <f t="shared" si="93"/>
        <v>0</v>
      </c>
      <c r="N211" s="216">
        <f t="shared" si="93"/>
        <v>0</v>
      </c>
      <c r="O211" s="216">
        <f t="shared" si="93"/>
        <v>0</v>
      </c>
      <c r="P211" s="216">
        <f t="shared" si="93"/>
        <v>0</v>
      </c>
      <c r="Q211" s="216">
        <f t="shared" si="93"/>
        <v>0</v>
      </c>
      <c r="R211" s="216">
        <f t="shared" si="93"/>
        <v>0</v>
      </c>
      <c r="S211" s="216">
        <f t="shared" si="93"/>
        <v>0</v>
      </c>
      <c r="T211" s="216">
        <f t="shared" si="93"/>
        <v>0</v>
      </c>
      <c r="U211" s="216" t="e">
        <f t="shared" si="93"/>
        <v>#REF!</v>
      </c>
      <c r="V211" s="216" t="e">
        <f t="shared" si="93"/>
        <v>#REF!</v>
      </c>
      <c r="W211" s="216" t="e">
        <f t="shared" si="93"/>
        <v>#REF!</v>
      </c>
      <c r="X211" s="216" t="e">
        <f t="shared" si="93"/>
        <v>#REF!</v>
      </c>
      <c r="Y211" s="216" t="e">
        <f t="shared" si="93"/>
        <v>#REF!</v>
      </c>
      <c r="Z211" s="216" t="e">
        <f t="shared" si="93"/>
        <v>#REF!</v>
      </c>
      <c r="AA211" s="216" t="e">
        <f t="shared" si="93"/>
        <v>#REF!</v>
      </c>
      <c r="AB211" s="216" t="e">
        <f t="shared" si="93"/>
        <v>#REF!</v>
      </c>
      <c r="AC211" s="216" t="e">
        <f t="shared" si="93"/>
        <v>#REF!</v>
      </c>
      <c r="AD211" s="216" t="e">
        <f t="shared" si="93"/>
        <v>#REF!</v>
      </c>
      <c r="AE211" s="216" t="e">
        <f t="shared" si="93"/>
        <v>#REF!</v>
      </c>
      <c r="AF211" s="216" t="e">
        <f t="shared" si="93"/>
        <v>#REF!</v>
      </c>
      <c r="AG211" s="216" t="e">
        <f t="shared" si="93"/>
        <v>#REF!</v>
      </c>
      <c r="AH211" s="216" t="e">
        <f t="shared" si="93"/>
        <v>#REF!</v>
      </c>
      <c r="AI211" s="216" t="e">
        <f t="shared" si="93"/>
        <v>#REF!</v>
      </c>
      <c r="AJ211" s="216" t="e">
        <f t="shared" si="93"/>
        <v>#REF!</v>
      </c>
      <c r="AK211" s="216" t="e">
        <f t="shared" si="93"/>
        <v>#REF!</v>
      </c>
      <c r="AL211" s="217" t="e">
        <f t="shared" si="93"/>
        <v>#REF!</v>
      </c>
      <c r="AM211" s="175"/>
    </row>
    <row r="212" spans="1:39" s="78" customFormat="1" ht="14.25" outlineLevel="2">
      <c r="A212" s="374"/>
      <c r="B212" s="272"/>
      <c r="C212" s="272"/>
      <c r="D212" s="190" t="s">
        <v>21</v>
      </c>
      <c r="E212" s="392" t="s">
        <v>31</v>
      </c>
      <c r="F212" s="259">
        <f aca="true" t="shared" si="94" ref="F212:AL217">+IF(F$225=0,"",F225-E225)</f>
        <v>-321980.8999999985</v>
      </c>
      <c r="G212" s="259">
        <f t="shared" si="94"/>
        <v>622271.3099999987</v>
      </c>
      <c r="H212" s="260">
        <f t="shared" si="94"/>
        <v>-1850076.5199999996</v>
      </c>
      <c r="I212" s="280">
        <f t="shared" si="94"/>
        <v>1147134.8599999994</v>
      </c>
      <c r="J212" s="281">
        <f t="shared" si="94"/>
        <v>-1872088.3399999999</v>
      </c>
      <c r="K212" s="281">
        <f t="shared" si="94"/>
        <v>789955</v>
      </c>
      <c r="L212" s="281">
        <f t="shared" si="94"/>
        <v>-820100</v>
      </c>
      <c r="M212" s="281">
        <f t="shared" si="94"/>
        <v>600000</v>
      </c>
      <c r="N212" s="281">
        <f t="shared" si="94"/>
        <v>649620</v>
      </c>
      <c r="O212" s="281">
        <f t="shared" si="94"/>
        <v>689964</v>
      </c>
      <c r="P212" s="281">
        <f t="shared" si="94"/>
        <v>694000</v>
      </c>
      <c r="Q212" s="281">
        <f t="shared" si="94"/>
        <v>332700</v>
      </c>
      <c r="R212" s="281">
        <f t="shared" si="94"/>
        <v>469000</v>
      </c>
      <c r="S212" s="281">
        <f t="shared" si="94"/>
        <v>526400</v>
      </c>
      <c r="T212" s="281">
        <f t="shared" si="94"/>
        <v>699101</v>
      </c>
      <c r="U212" s="281" t="e">
        <f t="shared" si="94"/>
        <v>#REF!</v>
      </c>
      <c r="V212" s="281" t="e">
        <f t="shared" si="94"/>
        <v>#REF!</v>
      </c>
      <c r="W212" s="281" t="e">
        <f t="shared" si="94"/>
        <v>#REF!</v>
      </c>
      <c r="X212" s="281" t="e">
        <f t="shared" si="94"/>
        <v>#REF!</v>
      </c>
      <c r="Y212" s="281" t="e">
        <f t="shared" si="94"/>
        <v>#REF!</v>
      </c>
      <c r="Z212" s="281" t="e">
        <f t="shared" si="94"/>
        <v>#REF!</v>
      </c>
      <c r="AA212" s="281" t="e">
        <f t="shared" si="94"/>
        <v>#REF!</v>
      </c>
      <c r="AB212" s="281" t="e">
        <f t="shared" si="94"/>
        <v>#REF!</v>
      </c>
      <c r="AC212" s="281" t="e">
        <f t="shared" si="94"/>
        <v>#REF!</v>
      </c>
      <c r="AD212" s="281" t="e">
        <f t="shared" si="94"/>
        <v>#REF!</v>
      </c>
      <c r="AE212" s="281" t="e">
        <f t="shared" si="94"/>
        <v>#REF!</v>
      </c>
      <c r="AF212" s="281" t="e">
        <f t="shared" si="94"/>
        <v>#REF!</v>
      </c>
      <c r="AG212" s="281" t="e">
        <f t="shared" si="94"/>
        <v>#REF!</v>
      </c>
      <c r="AH212" s="281" t="e">
        <f t="shared" si="94"/>
        <v>#REF!</v>
      </c>
      <c r="AI212" s="281" t="e">
        <f t="shared" si="94"/>
        <v>#REF!</v>
      </c>
      <c r="AJ212" s="281" t="e">
        <f t="shared" si="94"/>
        <v>#REF!</v>
      </c>
      <c r="AK212" s="281" t="e">
        <f t="shared" si="94"/>
        <v>#REF!</v>
      </c>
      <c r="AL212" s="282" t="e">
        <f t="shared" si="94"/>
        <v>#REF!</v>
      </c>
      <c r="AM212" s="276"/>
    </row>
    <row r="213" spans="1:39" s="78" customFormat="1" ht="15" outlineLevel="2">
      <c r="A213" s="374"/>
      <c r="B213" s="189"/>
      <c r="C213" s="189"/>
      <c r="D213" s="202" t="s">
        <v>390</v>
      </c>
      <c r="E213" s="394" t="s">
        <v>31</v>
      </c>
      <c r="F213" s="266">
        <f t="shared" si="94"/>
        <v>-321980.8999999985</v>
      </c>
      <c r="G213" s="266">
        <f t="shared" si="94"/>
        <v>622271.3099999987</v>
      </c>
      <c r="H213" s="267">
        <f t="shared" si="94"/>
        <v>-1850076.5199999996</v>
      </c>
      <c r="I213" s="212">
        <f t="shared" si="94"/>
        <v>983607.3999999985</v>
      </c>
      <c r="J213" s="213">
        <f t="shared" si="94"/>
        <v>-1708560.879999999</v>
      </c>
      <c r="K213" s="213">
        <f t="shared" si="94"/>
        <v>789955</v>
      </c>
      <c r="L213" s="213">
        <f t="shared" si="94"/>
        <v>-820100</v>
      </c>
      <c r="M213" s="213">
        <f t="shared" si="94"/>
        <v>600000</v>
      </c>
      <c r="N213" s="213">
        <f t="shared" si="94"/>
        <v>649620</v>
      </c>
      <c r="O213" s="213">
        <f t="shared" si="94"/>
        <v>689964</v>
      </c>
      <c r="P213" s="213">
        <f t="shared" si="94"/>
        <v>694000</v>
      </c>
      <c r="Q213" s="213">
        <f t="shared" si="94"/>
        <v>332700</v>
      </c>
      <c r="R213" s="213">
        <f t="shared" si="94"/>
        <v>469000</v>
      </c>
      <c r="S213" s="213">
        <f t="shared" si="94"/>
        <v>526400</v>
      </c>
      <c r="T213" s="213">
        <f t="shared" si="94"/>
        <v>699101</v>
      </c>
      <c r="U213" s="213" t="e">
        <f t="shared" si="94"/>
        <v>#REF!</v>
      </c>
      <c r="V213" s="213" t="e">
        <f t="shared" si="94"/>
        <v>#REF!</v>
      </c>
      <c r="W213" s="213" t="e">
        <f t="shared" si="94"/>
        <v>#REF!</v>
      </c>
      <c r="X213" s="213" t="e">
        <f t="shared" si="94"/>
        <v>#REF!</v>
      </c>
      <c r="Y213" s="213" t="e">
        <f t="shared" si="94"/>
        <v>#REF!</v>
      </c>
      <c r="Z213" s="213" t="e">
        <f t="shared" si="94"/>
        <v>#REF!</v>
      </c>
      <c r="AA213" s="213" t="e">
        <f t="shared" si="94"/>
        <v>#REF!</v>
      </c>
      <c r="AB213" s="213" t="e">
        <f t="shared" si="94"/>
        <v>#REF!</v>
      </c>
      <c r="AC213" s="213" t="e">
        <f t="shared" si="94"/>
        <v>#REF!</v>
      </c>
      <c r="AD213" s="213" t="e">
        <f t="shared" si="94"/>
        <v>#REF!</v>
      </c>
      <c r="AE213" s="213" t="e">
        <f t="shared" si="94"/>
        <v>#REF!</v>
      </c>
      <c r="AF213" s="213" t="e">
        <f t="shared" si="94"/>
        <v>#REF!</v>
      </c>
      <c r="AG213" s="213" t="e">
        <f t="shared" si="94"/>
        <v>#REF!</v>
      </c>
      <c r="AH213" s="213" t="e">
        <f t="shared" si="94"/>
        <v>#REF!</v>
      </c>
      <c r="AI213" s="213" t="e">
        <f t="shared" si="94"/>
        <v>#REF!</v>
      </c>
      <c r="AJ213" s="213" t="e">
        <f t="shared" si="94"/>
        <v>#REF!</v>
      </c>
      <c r="AK213" s="213" t="e">
        <f t="shared" si="94"/>
        <v>#REF!</v>
      </c>
      <c r="AL213" s="214" t="e">
        <f t="shared" si="94"/>
        <v>#REF!</v>
      </c>
      <c r="AM213" s="175"/>
    </row>
    <row r="214" spans="1:39" s="78" customFormat="1" ht="14.25" outlineLevel="2">
      <c r="A214" s="374"/>
      <c r="B214" s="272"/>
      <c r="C214" s="272"/>
      <c r="D214" s="203" t="s">
        <v>37</v>
      </c>
      <c r="E214" s="396" t="s">
        <v>31</v>
      </c>
      <c r="F214" s="270">
        <f t="shared" si="94"/>
        <v>651455.5199999996</v>
      </c>
      <c r="G214" s="270">
        <f t="shared" si="94"/>
        <v>2461339.5600000005</v>
      </c>
      <c r="H214" s="271">
        <f t="shared" si="94"/>
        <v>-782307.1799999997</v>
      </c>
      <c r="I214" s="283">
        <f t="shared" si="94"/>
        <v>2288628.5199999996</v>
      </c>
      <c r="J214" s="284">
        <f t="shared" si="94"/>
        <v>-519038.33999999985</v>
      </c>
      <c r="K214" s="284">
        <f t="shared" si="94"/>
        <v>246975</v>
      </c>
      <c r="L214" s="284">
        <f t="shared" si="94"/>
        <v>347025</v>
      </c>
      <c r="M214" s="284">
        <f t="shared" si="94"/>
        <v>329000</v>
      </c>
      <c r="N214" s="284">
        <f t="shared" si="94"/>
        <v>354000</v>
      </c>
      <c r="O214" s="284">
        <f t="shared" si="94"/>
        <v>363000</v>
      </c>
      <c r="P214" s="284">
        <f t="shared" si="94"/>
        <v>353000</v>
      </c>
      <c r="Q214" s="284">
        <f t="shared" si="94"/>
        <v>179000</v>
      </c>
      <c r="R214" s="284">
        <f t="shared" si="94"/>
        <v>175000</v>
      </c>
      <c r="S214" s="284">
        <f t="shared" si="94"/>
        <v>182000</v>
      </c>
      <c r="T214" s="284">
        <f t="shared" si="94"/>
        <v>190000</v>
      </c>
      <c r="U214" s="284" t="e">
        <f t="shared" si="94"/>
        <v>#REF!</v>
      </c>
      <c r="V214" s="284" t="e">
        <f t="shared" si="94"/>
        <v>#REF!</v>
      </c>
      <c r="W214" s="284" t="e">
        <f t="shared" si="94"/>
        <v>#REF!</v>
      </c>
      <c r="X214" s="284" t="e">
        <f t="shared" si="94"/>
        <v>#REF!</v>
      </c>
      <c r="Y214" s="284" t="e">
        <f t="shared" si="94"/>
        <v>#REF!</v>
      </c>
      <c r="Z214" s="284" t="e">
        <f t="shared" si="94"/>
        <v>#REF!</v>
      </c>
      <c r="AA214" s="284" t="e">
        <f t="shared" si="94"/>
        <v>#REF!</v>
      </c>
      <c r="AB214" s="284" t="e">
        <f t="shared" si="94"/>
        <v>#REF!</v>
      </c>
      <c r="AC214" s="284" t="e">
        <f t="shared" si="94"/>
        <v>#REF!</v>
      </c>
      <c r="AD214" s="284" t="e">
        <f t="shared" si="94"/>
        <v>#REF!</v>
      </c>
      <c r="AE214" s="284" t="e">
        <f t="shared" si="94"/>
        <v>#REF!</v>
      </c>
      <c r="AF214" s="284" t="e">
        <f t="shared" si="94"/>
        <v>#REF!</v>
      </c>
      <c r="AG214" s="284" t="e">
        <f t="shared" si="94"/>
        <v>#REF!</v>
      </c>
      <c r="AH214" s="284" t="e">
        <f t="shared" si="94"/>
        <v>#REF!</v>
      </c>
      <c r="AI214" s="284" t="e">
        <f t="shared" si="94"/>
        <v>#REF!</v>
      </c>
      <c r="AJ214" s="284" t="e">
        <f t="shared" si="94"/>
        <v>#REF!</v>
      </c>
      <c r="AK214" s="284" t="e">
        <f t="shared" si="94"/>
        <v>#REF!</v>
      </c>
      <c r="AL214" s="285" t="e">
        <f t="shared" si="94"/>
        <v>#REF!</v>
      </c>
      <c r="AM214" s="276"/>
    </row>
    <row r="215" spans="1:39" s="78" customFormat="1" ht="15" outlineLevel="2">
      <c r="A215" s="374"/>
      <c r="B215" s="189"/>
      <c r="C215" s="189"/>
      <c r="D215" s="197" t="s">
        <v>39</v>
      </c>
      <c r="E215" s="394" t="s">
        <v>31</v>
      </c>
      <c r="F215" s="266">
        <f t="shared" si="94"/>
        <v>651455.5199999996</v>
      </c>
      <c r="G215" s="266">
        <f t="shared" si="94"/>
        <v>2461339.5600000005</v>
      </c>
      <c r="H215" s="267">
        <f t="shared" si="94"/>
        <v>-782307.1799999997</v>
      </c>
      <c r="I215" s="212">
        <f t="shared" si="94"/>
        <v>2220247.0599999987</v>
      </c>
      <c r="J215" s="213">
        <f t="shared" si="94"/>
        <v>-450656.87999999896</v>
      </c>
      <c r="K215" s="213">
        <f t="shared" si="94"/>
        <v>246975</v>
      </c>
      <c r="L215" s="213">
        <f t="shared" si="94"/>
        <v>347025</v>
      </c>
      <c r="M215" s="213">
        <f t="shared" si="94"/>
        <v>329000</v>
      </c>
      <c r="N215" s="213">
        <f t="shared" si="94"/>
        <v>354000</v>
      </c>
      <c r="O215" s="213">
        <f t="shared" si="94"/>
        <v>363000</v>
      </c>
      <c r="P215" s="213">
        <f t="shared" si="94"/>
        <v>353000</v>
      </c>
      <c r="Q215" s="213">
        <f t="shared" si="94"/>
        <v>179000</v>
      </c>
      <c r="R215" s="213">
        <f t="shared" si="94"/>
        <v>175000</v>
      </c>
      <c r="S215" s="213">
        <f t="shared" si="94"/>
        <v>182000</v>
      </c>
      <c r="T215" s="213">
        <f t="shared" si="94"/>
        <v>190000</v>
      </c>
      <c r="U215" s="213" t="e">
        <f t="shared" si="94"/>
        <v>#REF!</v>
      </c>
      <c r="V215" s="213" t="e">
        <f t="shared" si="94"/>
        <v>#REF!</v>
      </c>
      <c r="W215" s="213" t="e">
        <f t="shared" si="94"/>
        <v>#REF!</v>
      </c>
      <c r="X215" s="213" t="e">
        <f t="shared" si="94"/>
        <v>#REF!</v>
      </c>
      <c r="Y215" s="213" t="e">
        <f t="shared" si="94"/>
        <v>#REF!</v>
      </c>
      <c r="Z215" s="213" t="e">
        <f t="shared" si="94"/>
        <v>#REF!</v>
      </c>
      <c r="AA215" s="213" t="e">
        <f t="shared" si="94"/>
        <v>#REF!</v>
      </c>
      <c r="AB215" s="213" t="e">
        <f t="shared" si="94"/>
        <v>#REF!</v>
      </c>
      <c r="AC215" s="213" t="e">
        <f t="shared" si="94"/>
        <v>#REF!</v>
      </c>
      <c r="AD215" s="213" t="e">
        <f t="shared" si="94"/>
        <v>#REF!</v>
      </c>
      <c r="AE215" s="213" t="e">
        <f t="shared" si="94"/>
        <v>#REF!</v>
      </c>
      <c r="AF215" s="213" t="e">
        <f t="shared" si="94"/>
        <v>#REF!</v>
      </c>
      <c r="AG215" s="213" t="e">
        <f t="shared" si="94"/>
        <v>#REF!</v>
      </c>
      <c r="AH215" s="213" t="e">
        <f t="shared" si="94"/>
        <v>#REF!</v>
      </c>
      <c r="AI215" s="213" t="e">
        <f t="shared" si="94"/>
        <v>#REF!</v>
      </c>
      <c r="AJ215" s="213" t="e">
        <f t="shared" si="94"/>
        <v>#REF!</v>
      </c>
      <c r="AK215" s="213" t="e">
        <f t="shared" si="94"/>
        <v>#REF!</v>
      </c>
      <c r="AL215" s="214" t="e">
        <f t="shared" si="94"/>
        <v>#REF!</v>
      </c>
      <c r="AM215" s="175"/>
    </row>
    <row r="216" spans="1:39" s="78" customFormat="1" ht="15" outlineLevel="2">
      <c r="A216" s="374"/>
      <c r="B216" s="189"/>
      <c r="C216" s="189"/>
      <c r="D216" s="197" t="s">
        <v>38</v>
      </c>
      <c r="E216" s="394" t="s">
        <v>31</v>
      </c>
      <c r="F216" s="266">
        <f t="shared" si="94"/>
        <v>500000</v>
      </c>
      <c r="G216" s="266">
        <f t="shared" si="94"/>
        <v>522323.1200000001</v>
      </c>
      <c r="H216" s="267">
        <f t="shared" si="94"/>
        <v>-6922323.12</v>
      </c>
      <c r="I216" s="212">
        <f t="shared" si="94"/>
        <v>7698600.8</v>
      </c>
      <c r="J216" s="213">
        <f t="shared" si="94"/>
        <v>162399.2000000002</v>
      </c>
      <c r="K216" s="213">
        <f t="shared" si="94"/>
        <v>158000</v>
      </c>
      <c r="L216" s="213">
        <f t="shared" si="94"/>
        <v>160000</v>
      </c>
      <c r="M216" s="213">
        <f t="shared" si="94"/>
        <v>-8179000</v>
      </c>
      <c r="N216" s="213">
        <f t="shared" si="94"/>
        <v>0</v>
      </c>
      <c r="O216" s="213">
        <f t="shared" si="94"/>
        <v>0</v>
      </c>
      <c r="P216" s="213">
        <f t="shared" si="94"/>
        <v>0</v>
      </c>
      <c r="Q216" s="213">
        <f t="shared" si="94"/>
        <v>0</v>
      </c>
      <c r="R216" s="213">
        <f t="shared" si="94"/>
        <v>0</v>
      </c>
      <c r="S216" s="213">
        <f t="shared" si="94"/>
        <v>0</v>
      </c>
      <c r="T216" s="213">
        <f t="shared" si="94"/>
        <v>0</v>
      </c>
      <c r="U216" s="213" t="e">
        <f t="shared" si="94"/>
        <v>#REF!</v>
      </c>
      <c r="V216" s="213" t="e">
        <f t="shared" si="94"/>
        <v>#REF!</v>
      </c>
      <c r="W216" s="213" t="e">
        <f t="shared" si="94"/>
        <v>#REF!</v>
      </c>
      <c r="X216" s="213" t="e">
        <f t="shared" si="94"/>
        <v>#REF!</v>
      </c>
      <c r="Y216" s="213" t="e">
        <f t="shared" si="94"/>
        <v>#REF!</v>
      </c>
      <c r="Z216" s="213" t="e">
        <f t="shared" si="94"/>
        <v>#REF!</v>
      </c>
      <c r="AA216" s="213" t="e">
        <f t="shared" si="94"/>
        <v>#REF!</v>
      </c>
      <c r="AB216" s="213" t="e">
        <f t="shared" si="94"/>
        <v>#REF!</v>
      </c>
      <c r="AC216" s="213" t="e">
        <f t="shared" si="94"/>
        <v>#REF!</v>
      </c>
      <c r="AD216" s="213" t="e">
        <f t="shared" si="94"/>
        <v>#REF!</v>
      </c>
      <c r="AE216" s="213" t="e">
        <f t="shared" si="94"/>
        <v>#REF!</v>
      </c>
      <c r="AF216" s="213" t="e">
        <f t="shared" si="94"/>
        <v>#REF!</v>
      </c>
      <c r="AG216" s="213" t="e">
        <f t="shared" si="94"/>
        <v>#REF!</v>
      </c>
      <c r="AH216" s="213" t="e">
        <f t="shared" si="94"/>
        <v>#REF!</v>
      </c>
      <c r="AI216" s="213" t="e">
        <f t="shared" si="94"/>
        <v>#REF!</v>
      </c>
      <c r="AJ216" s="213" t="e">
        <f t="shared" si="94"/>
        <v>#REF!</v>
      </c>
      <c r="AK216" s="213" t="e">
        <f t="shared" si="94"/>
        <v>#REF!</v>
      </c>
      <c r="AL216" s="214" t="e">
        <f t="shared" si="94"/>
        <v>#REF!</v>
      </c>
      <c r="AM216" s="175"/>
    </row>
    <row r="217" spans="1:39" s="78" customFormat="1" ht="24" outlineLevel="2">
      <c r="A217" s="374"/>
      <c r="B217" s="189"/>
      <c r="C217" s="189"/>
      <c r="D217" s="198" t="s">
        <v>389</v>
      </c>
      <c r="E217" s="395" t="s">
        <v>31</v>
      </c>
      <c r="F217" s="268">
        <f t="shared" si="94"/>
        <v>52164.38999999873</v>
      </c>
      <c r="G217" s="268">
        <f t="shared" si="94"/>
        <v>1846482.4100000001</v>
      </c>
      <c r="H217" s="269">
        <f t="shared" si="94"/>
        <v>4604751.870000001</v>
      </c>
      <c r="I217" s="215">
        <f t="shared" si="94"/>
        <v>-5511558.210000001</v>
      </c>
      <c r="J217" s="216">
        <f t="shared" si="94"/>
        <v>-666587.5399999991</v>
      </c>
      <c r="K217" s="216">
        <f t="shared" si="94"/>
        <v>139975</v>
      </c>
      <c r="L217" s="216">
        <f t="shared" si="94"/>
        <v>162025</v>
      </c>
      <c r="M217" s="216">
        <f t="shared" si="94"/>
        <v>10342000</v>
      </c>
      <c r="N217" s="216">
        <f t="shared" si="94"/>
        <v>395000</v>
      </c>
      <c r="O217" s="216">
        <f t="shared" si="94"/>
        <v>405000</v>
      </c>
      <c r="P217" s="216">
        <f t="shared" si="94"/>
        <v>392000</v>
      </c>
      <c r="Q217" s="216">
        <f t="shared" si="94"/>
        <v>212000</v>
      </c>
      <c r="R217" s="216">
        <f t="shared" si="94"/>
        <v>215000</v>
      </c>
      <c r="S217" s="216">
        <f t="shared" si="94"/>
        <v>221000</v>
      </c>
      <c r="T217" s="216">
        <f t="shared" si="94"/>
        <v>223000</v>
      </c>
      <c r="U217" s="216" t="e">
        <f t="shared" si="94"/>
        <v>#REF!</v>
      </c>
      <c r="V217" s="216" t="e">
        <f t="shared" si="94"/>
        <v>#REF!</v>
      </c>
      <c r="W217" s="216" t="e">
        <f t="shared" si="94"/>
        <v>#REF!</v>
      </c>
      <c r="X217" s="216" t="e">
        <f t="shared" si="94"/>
        <v>#REF!</v>
      </c>
      <c r="Y217" s="216" t="e">
        <f t="shared" si="94"/>
        <v>#REF!</v>
      </c>
      <c r="Z217" s="216" t="e">
        <f t="shared" si="94"/>
        <v>#REF!</v>
      </c>
      <c r="AA217" s="216" t="e">
        <f t="shared" si="94"/>
        <v>#REF!</v>
      </c>
      <c r="AB217" s="216" t="e">
        <f t="shared" si="94"/>
        <v>#REF!</v>
      </c>
      <c r="AC217" s="216" t="e">
        <f t="shared" si="94"/>
        <v>#REF!</v>
      </c>
      <c r="AD217" s="216" t="e">
        <f t="shared" si="94"/>
        <v>#REF!</v>
      </c>
      <c r="AE217" s="216" t="e">
        <f t="shared" si="94"/>
        <v>#REF!</v>
      </c>
      <c r="AF217" s="216" t="e">
        <f t="shared" si="94"/>
        <v>#REF!</v>
      </c>
      <c r="AG217" s="216" t="e">
        <f t="shared" si="94"/>
        <v>#REF!</v>
      </c>
      <c r="AH217" s="216" t="e">
        <f t="shared" si="94"/>
        <v>#REF!</v>
      </c>
      <c r="AI217" s="216" t="e">
        <f t="shared" si="94"/>
        <v>#REF!</v>
      </c>
      <c r="AJ217" s="216" t="e">
        <f t="shared" si="94"/>
        <v>#REF!</v>
      </c>
      <c r="AK217" s="216" t="e">
        <f t="shared" si="94"/>
        <v>#REF!</v>
      </c>
      <c r="AL217" s="217" t="e">
        <f t="shared" si="94"/>
        <v>#REF!</v>
      </c>
      <c r="AM217" s="175"/>
    </row>
    <row r="218" spans="1:39" s="78" customFormat="1" ht="15" outlineLevel="1">
      <c r="A218" s="374"/>
      <c r="B218" s="189"/>
      <c r="C218" s="189"/>
      <c r="D218" s="303" t="s">
        <v>442</v>
      </c>
      <c r="E218" s="207"/>
      <c r="F218" s="207"/>
      <c r="G218" s="207"/>
      <c r="H218" s="207"/>
      <c r="I218" s="208"/>
      <c r="J218" s="208"/>
      <c r="K218" s="208"/>
      <c r="L218" s="208"/>
      <c r="M218" s="208"/>
      <c r="N218" s="208"/>
      <c r="O218" s="208"/>
      <c r="P218" s="208"/>
      <c r="Q218" s="208"/>
      <c r="R218" s="208"/>
      <c r="S218" s="208"/>
      <c r="T218" s="208"/>
      <c r="U218" s="208"/>
      <c r="V218" s="208"/>
      <c r="W218" s="208"/>
      <c r="X218" s="208"/>
      <c r="Y218" s="208"/>
      <c r="Z218" s="208"/>
      <c r="AA218" s="208"/>
      <c r="AB218" s="208"/>
      <c r="AC218" s="208"/>
      <c r="AD218" s="208"/>
      <c r="AE218" s="208"/>
      <c r="AF218" s="208"/>
      <c r="AG218" s="208"/>
      <c r="AH218" s="208"/>
      <c r="AI218" s="208"/>
      <c r="AJ218" s="208"/>
      <c r="AK218" s="208"/>
      <c r="AL218" s="208"/>
      <c r="AM218" s="175"/>
    </row>
    <row r="219" spans="1:39" s="78" customFormat="1" ht="14.25" outlineLevel="2">
      <c r="A219" s="374"/>
      <c r="B219" s="272"/>
      <c r="C219" s="272"/>
      <c r="D219" s="190" t="s">
        <v>26</v>
      </c>
      <c r="E219" s="209">
        <f>+E10</f>
        <v>17694090.44</v>
      </c>
      <c r="F219" s="210">
        <f>+F10</f>
        <v>19338026.07</v>
      </c>
      <c r="G219" s="210">
        <f>+G10</f>
        <v>25997535</v>
      </c>
      <c r="H219" s="211">
        <f>+H10</f>
        <v>24644334.580000002</v>
      </c>
      <c r="I219" s="280">
        <f aca="true" t="shared" si="95" ref="I219:AK219">+I10</f>
        <v>22025356.34</v>
      </c>
      <c r="J219" s="281">
        <f t="shared" si="95"/>
        <v>19850045</v>
      </c>
      <c r="K219" s="281">
        <f t="shared" si="95"/>
        <v>20979000</v>
      </c>
      <c r="L219" s="281">
        <f t="shared" si="95"/>
        <v>20700000</v>
      </c>
      <c r="M219" s="281">
        <f t="shared" si="95"/>
        <v>21300000</v>
      </c>
      <c r="N219" s="281">
        <f t="shared" si="95"/>
        <v>21900000</v>
      </c>
      <c r="O219" s="281">
        <f t="shared" si="95"/>
        <v>22500000</v>
      </c>
      <c r="P219" s="281">
        <f t="shared" si="95"/>
        <v>23000000</v>
      </c>
      <c r="Q219" s="281">
        <f t="shared" si="95"/>
        <v>23468000</v>
      </c>
      <c r="R219" s="281">
        <f t="shared" si="95"/>
        <v>23937000</v>
      </c>
      <c r="S219" s="281">
        <f t="shared" si="95"/>
        <v>24416000</v>
      </c>
      <c r="T219" s="281">
        <f t="shared" si="95"/>
        <v>24900000</v>
      </c>
      <c r="U219" s="281" t="e">
        <f t="shared" si="95"/>
        <v>#REF!</v>
      </c>
      <c r="V219" s="281" t="e">
        <f t="shared" si="95"/>
        <v>#REF!</v>
      </c>
      <c r="W219" s="281" t="e">
        <f t="shared" si="95"/>
        <v>#REF!</v>
      </c>
      <c r="X219" s="281" t="e">
        <f t="shared" si="95"/>
        <v>#REF!</v>
      </c>
      <c r="Y219" s="281" t="e">
        <f t="shared" si="95"/>
        <v>#REF!</v>
      </c>
      <c r="Z219" s="281" t="e">
        <f t="shared" si="95"/>
        <v>#REF!</v>
      </c>
      <c r="AA219" s="281" t="e">
        <f t="shared" si="95"/>
        <v>#REF!</v>
      </c>
      <c r="AB219" s="281" t="e">
        <f t="shared" si="95"/>
        <v>#REF!</v>
      </c>
      <c r="AC219" s="281" t="e">
        <f t="shared" si="95"/>
        <v>#REF!</v>
      </c>
      <c r="AD219" s="281" t="e">
        <f t="shared" si="95"/>
        <v>#REF!</v>
      </c>
      <c r="AE219" s="281" t="e">
        <f t="shared" si="95"/>
        <v>#REF!</v>
      </c>
      <c r="AF219" s="281" t="e">
        <f t="shared" si="95"/>
        <v>#REF!</v>
      </c>
      <c r="AG219" s="281" t="e">
        <f t="shared" si="95"/>
        <v>#REF!</v>
      </c>
      <c r="AH219" s="281" t="e">
        <f t="shared" si="95"/>
        <v>#REF!</v>
      </c>
      <c r="AI219" s="281" t="e">
        <f t="shared" si="95"/>
        <v>#REF!</v>
      </c>
      <c r="AJ219" s="281" t="e">
        <f t="shared" si="95"/>
        <v>#REF!</v>
      </c>
      <c r="AK219" s="281" t="e">
        <f t="shared" si="95"/>
        <v>#REF!</v>
      </c>
      <c r="AL219" s="282" t="e">
        <f>+AL10</f>
        <v>#REF!</v>
      </c>
      <c r="AM219" s="276"/>
    </row>
    <row r="220" spans="1:39" s="78" customFormat="1" ht="15" outlineLevel="2">
      <c r="A220" s="374"/>
      <c r="B220" s="189"/>
      <c r="C220" s="189"/>
      <c r="D220" s="193" t="s">
        <v>391</v>
      </c>
      <c r="E220" s="218">
        <f>+(E10-E77-E80)</f>
        <v>17694090.44</v>
      </c>
      <c r="F220" s="219">
        <f>+(F10-F77-F80)</f>
        <v>19338026.07</v>
      </c>
      <c r="G220" s="219">
        <f>+(G10-G77-G80)</f>
        <v>25997535</v>
      </c>
      <c r="H220" s="220">
        <f>+(H10-H77-H80)</f>
        <v>24644334.580000002</v>
      </c>
      <c r="I220" s="212">
        <f>+(I10-I77-I80)</f>
        <v>20704674.02</v>
      </c>
      <c r="J220" s="213">
        <f aca="true" t="shared" si="96" ref="J220:AL220">+(J10-J77-J80)</f>
        <v>19850045</v>
      </c>
      <c r="K220" s="213">
        <f t="shared" si="96"/>
        <v>20979000</v>
      </c>
      <c r="L220" s="213">
        <f t="shared" si="96"/>
        <v>20700000</v>
      </c>
      <c r="M220" s="213">
        <f t="shared" si="96"/>
        <v>21300000</v>
      </c>
      <c r="N220" s="213">
        <f t="shared" si="96"/>
        <v>21900000</v>
      </c>
      <c r="O220" s="213">
        <f t="shared" si="96"/>
        <v>22500000</v>
      </c>
      <c r="P220" s="213">
        <f t="shared" si="96"/>
        <v>23000000</v>
      </c>
      <c r="Q220" s="213">
        <f t="shared" si="96"/>
        <v>23468000</v>
      </c>
      <c r="R220" s="213">
        <f t="shared" si="96"/>
        <v>23937000</v>
      </c>
      <c r="S220" s="213">
        <f t="shared" si="96"/>
        <v>24416000</v>
      </c>
      <c r="T220" s="213">
        <f t="shared" si="96"/>
        <v>24900000</v>
      </c>
      <c r="U220" s="213" t="e">
        <f t="shared" si="96"/>
        <v>#REF!</v>
      </c>
      <c r="V220" s="213" t="e">
        <f t="shared" si="96"/>
        <v>#REF!</v>
      </c>
      <c r="W220" s="213" t="e">
        <f t="shared" si="96"/>
        <v>#REF!</v>
      </c>
      <c r="X220" s="213" t="e">
        <f t="shared" si="96"/>
        <v>#REF!</v>
      </c>
      <c r="Y220" s="213" t="e">
        <f t="shared" si="96"/>
        <v>#REF!</v>
      </c>
      <c r="Z220" s="213" t="e">
        <f t="shared" si="96"/>
        <v>#REF!</v>
      </c>
      <c r="AA220" s="213" t="e">
        <f t="shared" si="96"/>
        <v>#REF!</v>
      </c>
      <c r="AB220" s="213" t="e">
        <f t="shared" si="96"/>
        <v>#REF!</v>
      </c>
      <c r="AC220" s="213" t="e">
        <f t="shared" si="96"/>
        <v>#REF!</v>
      </c>
      <c r="AD220" s="213" t="e">
        <f t="shared" si="96"/>
        <v>#REF!</v>
      </c>
      <c r="AE220" s="213" t="e">
        <f t="shared" si="96"/>
        <v>#REF!</v>
      </c>
      <c r="AF220" s="213" t="e">
        <f t="shared" si="96"/>
        <v>#REF!</v>
      </c>
      <c r="AG220" s="213" t="e">
        <f t="shared" si="96"/>
        <v>#REF!</v>
      </c>
      <c r="AH220" s="213" t="e">
        <f t="shared" si="96"/>
        <v>#REF!</v>
      </c>
      <c r="AI220" s="213" t="e">
        <f t="shared" si="96"/>
        <v>#REF!</v>
      </c>
      <c r="AJ220" s="213" t="e">
        <f t="shared" si="96"/>
        <v>#REF!</v>
      </c>
      <c r="AK220" s="213" t="e">
        <f t="shared" si="96"/>
        <v>#REF!</v>
      </c>
      <c r="AL220" s="214" t="e">
        <f t="shared" si="96"/>
        <v>#REF!</v>
      </c>
      <c r="AM220" s="175"/>
    </row>
    <row r="221" spans="1:39" s="78" customFormat="1" ht="15" outlineLevel="2">
      <c r="A221" s="374"/>
      <c r="B221" s="189"/>
      <c r="C221" s="189"/>
      <c r="D221" s="197" t="s">
        <v>392</v>
      </c>
      <c r="E221" s="218">
        <f>+E11-E77</f>
        <v>15865836.94</v>
      </c>
      <c r="F221" s="219">
        <f>+F11-F77</f>
        <v>17910350.27</v>
      </c>
      <c r="G221" s="219">
        <f>+G11-G77</f>
        <v>17642438</v>
      </c>
      <c r="H221" s="220">
        <f>+H11-H77</f>
        <v>17734513.03</v>
      </c>
      <c r="I221" s="212">
        <f>+I11-I77</f>
        <v>19118215.02</v>
      </c>
      <c r="J221" s="213">
        <f aca="true" t="shared" si="97" ref="J221:AL221">+J11-J77</f>
        <v>19300045</v>
      </c>
      <c r="K221" s="213">
        <f t="shared" si="97"/>
        <v>20100000</v>
      </c>
      <c r="L221" s="213">
        <f t="shared" si="97"/>
        <v>20700000</v>
      </c>
      <c r="M221" s="213">
        <f t="shared" si="97"/>
        <v>21300000</v>
      </c>
      <c r="N221" s="213">
        <f t="shared" si="97"/>
        <v>21900000</v>
      </c>
      <c r="O221" s="213">
        <f t="shared" si="97"/>
        <v>22500000</v>
      </c>
      <c r="P221" s="213">
        <f t="shared" si="97"/>
        <v>23000000</v>
      </c>
      <c r="Q221" s="213">
        <f t="shared" si="97"/>
        <v>23468000</v>
      </c>
      <c r="R221" s="213">
        <f t="shared" si="97"/>
        <v>23937000</v>
      </c>
      <c r="S221" s="213">
        <f t="shared" si="97"/>
        <v>24416000</v>
      </c>
      <c r="T221" s="213">
        <f t="shared" si="97"/>
        <v>24900000</v>
      </c>
      <c r="U221" s="213" t="e">
        <f t="shared" si="97"/>
        <v>#REF!</v>
      </c>
      <c r="V221" s="213" t="e">
        <f t="shared" si="97"/>
        <v>#REF!</v>
      </c>
      <c r="W221" s="213" t="e">
        <f t="shared" si="97"/>
        <v>#REF!</v>
      </c>
      <c r="X221" s="213" t="e">
        <f t="shared" si="97"/>
        <v>#REF!</v>
      </c>
      <c r="Y221" s="213" t="e">
        <f t="shared" si="97"/>
        <v>#REF!</v>
      </c>
      <c r="Z221" s="213" t="e">
        <f t="shared" si="97"/>
        <v>#REF!</v>
      </c>
      <c r="AA221" s="213" t="e">
        <f t="shared" si="97"/>
        <v>#REF!</v>
      </c>
      <c r="AB221" s="213" t="e">
        <f t="shared" si="97"/>
        <v>#REF!</v>
      </c>
      <c r="AC221" s="213" t="e">
        <f t="shared" si="97"/>
        <v>#REF!</v>
      </c>
      <c r="AD221" s="213" t="e">
        <f t="shared" si="97"/>
        <v>#REF!</v>
      </c>
      <c r="AE221" s="213" t="e">
        <f t="shared" si="97"/>
        <v>#REF!</v>
      </c>
      <c r="AF221" s="213" t="e">
        <f t="shared" si="97"/>
        <v>#REF!</v>
      </c>
      <c r="AG221" s="213" t="e">
        <f t="shared" si="97"/>
        <v>#REF!</v>
      </c>
      <c r="AH221" s="213" t="e">
        <f t="shared" si="97"/>
        <v>#REF!</v>
      </c>
      <c r="AI221" s="213" t="e">
        <f t="shared" si="97"/>
        <v>#REF!</v>
      </c>
      <c r="AJ221" s="213" t="e">
        <f t="shared" si="97"/>
        <v>#REF!</v>
      </c>
      <c r="AK221" s="213" t="e">
        <f t="shared" si="97"/>
        <v>#REF!</v>
      </c>
      <c r="AL221" s="214" t="e">
        <f t="shared" si="97"/>
        <v>#REF!</v>
      </c>
      <c r="AM221" s="175"/>
    </row>
    <row r="222" spans="1:39" s="78" customFormat="1" ht="15" outlineLevel="2">
      <c r="A222" s="374"/>
      <c r="B222" s="189"/>
      <c r="C222" s="189"/>
      <c r="D222" s="197" t="s">
        <v>393</v>
      </c>
      <c r="E222" s="218">
        <f>+E18-E80</f>
        <v>1828253.5</v>
      </c>
      <c r="F222" s="219">
        <f>+F18-F80</f>
        <v>1427675.8</v>
      </c>
      <c r="G222" s="219">
        <f>+G18-G80</f>
        <v>8355097</v>
      </c>
      <c r="H222" s="220">
        <f>+H18-H80</f>
        <v>6909821.55</v>
      </c>
      <c r="I222" s="212">
        <f>+I18-I80</f>
        <v>1586459</v>
      </c>
      <c r="J222" s="213">
        <f aca="true" t="shared" si="98" ref="J222:AL222">+J18-J80</f>
        <v>550000</v>
      </c>
      <c r="K222" s="213">
        <f t="shared" si="98"/>
        <v>879000</v>
      </c>
      <c r="L222" s="213">
        <f t="shared" si="98"/>
        <v>0</v>
      </c>
      <c r="M222" s="213">
        <f t="shared" si="98"/>
        <v>0</v>
      </c>
      <c r="N222" s="213">
        <f t="shared" si="98"/>
        <v>0</v>
      </c>
      <c r="O222" s="213">
        <f t="shared" si="98"/>
        <v>0</v>
      </c>
      <c r="P222" s="213">
        <f t="shared" si="98"/>
        <v>0</v>
      </c>
      <c r="Q222" s="213">
        <f t="shared" si="98"/>
        <v>0</v>
      </c>
      <c r="R222" s="213">
        <f t="shared" si="98"/>
        <v>0</v>
      </c>
      <c r="S222" s="213">
        <f t="shared" si="98"/>
        <v>0</v>
      </c>
      <c r="T222" s="213">
        <f t="shared" si="98"/>
        <v>0</v>
      </c>
      <c r="U222" s="213" t="e">
        <f t="shared" si="98"/>
        <v>#REF!</v>
      </c>
      <c r="V222" s="213" t="e">
        <f t="shared" si="98"/>
        <v>#REF!</v>
      </c>
      <c r="W222" s="213" t="e">
        <f t="shared" si="98"/>
        <v>#REF!</v>
      </c>
      <c r="X222" s="213" t="e">
        <f t="shared" si="98"/>
        <v>#REF!</v>
      </c>
      <c r="Y222" s="213" t="e">
        <f t="shared" si="98"/>
        <v>#REF!</v>
      </c>
      <c r="Z222" s="213" t="e">
        <f t="shared" si="98"/>
        <v>#REF!</v>
      </c>
      <c r="AA222" s="213" t="e">
        <f t="shared" si="98"/>
        <v>#REF!</v>
      </c>
      <c r="AB222" s="213" t="e">
        <f t="shared" si="98"/>
        <v>#REF!</v>
      </c>
      <c r="AC222" s="213" t="e">
        <f t="shared" si="98"/>
        <v>#REF!</v>
      </c>
      <c r="AD222" s="213" t="e">
        <f t="shared" si="98"/>
        <v>#REF!</v>
      </c>
      <c r="AE222" s="213" t="e">
        <f t="shared" si="98"/>
        <v>#REF!</v>
      </c>
      <c r="AF222" s="213" t="e">
        <f t="shared" si="98"/>
        <v>#REF!</v>
      </c>
      <c r="AG222" s="213" t="e">
        <f t="shared" si="98"/>
        <v>#REF!</v>
      </c>
      <c r="AH222" s="213" t="e">
        <f t="shared" si="98"/>
        <v>#REF!</v>
      </c>
      <c r="AI222" s="213" t="e">
        <f t="shared" si="98"/>
        <v>#REF!</v>
      </c>
      <c r="AJ222" s="213" t="e">
        <f t="shared" si="98"/>
        <v>#REF!</v>
      </c>
      <c r="AK222" s="213" t="e">
        <f t="shared" si="98"/>
        <v>#REF!</v>
      </c>
      <c r="AL222" s="214" t="e">
        <f t="shared" si="98"/>
        <v>#REF!</v>
      </c>
      <c r="AM222" s="175"/>
    </row>
    <row r="223" spans="1:39" s="78" customFormat="1" ht="24" outlineLevel="2">
      <c r="A223" s="374"/>
      <c r="B223" s="189"/>
      <c r="C223" s="189"/>
      <c r="D223" s="197" t="s">
        <v>394</v>
      </c>
      <c r="E223" s="218">
        <f>+E18-E80-E19</f>
        <v>1093021.6600000001</v>
      </c>
      <c r="F223" s="219">
        <f>+F18-F80-F19</f>
        <v>817883.78</v>
      </c>
      <c r="G223" s="219">
        <f>+G18-G80-G19</f>
        <v>5510397</v>
      </c>
      <c r="H223" s="220">
        <f>+H18-H80-H19</f>
        <v>4665257.25</v>
      </c>
      <c r="I223" s="212">
        <f>+I18-I80-I19</f>
        <v>143263</v>
      </c>
      <c r="J223" s="213">
        <f aca="true" t="shared" si="99" ref="J223:AL223">+J18-J80-J19</f>
        <v>0</v>
      </c>
      <c r="K223" s="213">
        <f t="shared" si="99"/>
        <v>553000</v>
      </c>
      <c r="L223" s="213">
        <f t="shared" si="99"/>
        <v>0</v>
      </c>
      <c r="M223" s="213">
        <f t="shared" si="99"/>
        <v>0</v>
      </c>
      <c r="N223" s="213">
        <f t="shared" si="99"/>
        <v>0</v>
      </c>
      <c r="O223" s="213">
        <f t="shared" si="99"/>
        <v>0</v>
      </c>
      <c r="P223" s="213">
        <f t="shared" si="99"/>
        <v>0</v>
      </c>
      <c r="Q223" s="213">
        <f t="shared" si="99"/>
        <v>0</v>
      </c>
      <c r="R223" s="213">
        <f t="shared" si="99"/>
        <v>0</v>
      </c>
      <c r="S223" s="213">
        <f t="shared" si="99"/>
        <v>0</v>
      </c>
      <c r="T223" s="213">
        <f t="shared" si="99"/>
        <v>0</v>
      </c>
      <c r="U223" s="213" t="e">
        <f t="shared" si="99"/>
        <v>#REF!</v>
      </c>
      <c r="V223" s="213" t="e">
        <f t="shared" si="99"/>
        <v>#REF!</v>
      </c>
      <c r="W223" s="213" t="e">
        <f t="shared" si="99"/>
        <v>#REF!</v>
      </c>
      <c r="X223" s="213" t="e">
        <f t="shared" si="99"/>
        <v>#REF!</v>
      </c>
      <c r="Y223" s="213" t="e">
        <f t="shared" si="99"/>
        <v>#REF!</v>
      </c>
      <c r="Z223" s="213" t="e">
        <f t="shared" si="99"/>
        <v>#REF!</v>
      </c>
      <c r="AA223" s="213" t="e">
        <f t="shared" si="99"/>
        <v>#REF!</v>
      </c>
      <c r="AB223" s="213" t="e">
        <f t="shared" si="99"/>
        <v>#REF!</v>
      </c>
      <c r="AC223" s="213" t="e">
        <f t="shared" si="99"/>
        <v>#REF!</v>
      </c>
      <c r="AD223" s="213" t="e">
        <f t="shared" si="99"/>
        <v>#REF!</v>
      </c>
      <c r="AE223" s="213" t="e">
        <f t="shared" si="99"/>
        <v>#REF!</v>
      </c>
      <c r="AF223" s="213" t="e">
        <f t="shared" si="99"/>
        <v>#REF!</v>
      </c>
      <c r="AG223" s="213" t="e">
        <f t="shared" si="99"/>
        <v>#REF!</v>
      </c>
      <c r="AH223" s="213" t="e">
        <f t="shared" si="99"/>
        <v>#REF!</v>
      </c>
      <c r="AI223" s="213" t="e">
        <f t="shared" si="99"/>
        <v>#REF!</v>
      </c>
      <c r="AJ223" s="213" t="e">
        <f t="shared" si="99"/>
        <v>#REF!</v>
      </c>
      <c r="AK223" s="213" t="e">
        <f t="shared" si="99"/>
        <v>#REF!</v>
      </c>
      <c r="AL223" s="214" t="e">
        <f t="shared" si="99"/>
        <v>#REF!</v>
      </c>
      <c r="AM223" s="175"/>
    </row>
    <row r="224" spans="1:39" s="78" customFormat="1" ht="15" outlineLevel="2">
      <c r="A224" s="374"/>
      <c r="B224" s="189"/>
      <c r="C224" s="189"/>
      <c r="D224" s="198" t="s">
        <v>36</v>
      </c>
      <c r="E224" s="221">
        <f>+E19</f>
        <v>735231.84</v>
      </c>
      <c r="F224" s="222">
        <f>+F19</f>
        <v>609792.02</v>
      </c>
      <c r="G224" s="222">
        <f>+G19</f>
        <v>2844700</v>
      </c>
      <c r="H224" s="223">
        <f>+H19</f>
        <v>2244564.3</v>
      </c>
      <c r="I224" s="215">
        <f>+I19</f>
        <v>1443196</v>
      </c>
      <c r="J224" s="216">
        <f aca="true" t="shared" si="100" ref="J224:AL224">+J19</f>
        <v>550000</v>
      </c>
      <c r="K224" s="216">
        <f t="shared" si="100"/>
        <v>326000</v>
      </c>
      <c r="L224" s="216">
        <f t="shared" si="100"/>
        <v>0</v>
      </c>
      <c r="M224" s="216">
        <f t="shared" si="100"/>
        <v>0</v>
      </c>
      <c r="N224" s="216">
        <f t="shared" si="100"/>
        <v>0</v>
      </c>
      <c r="O224" s="216">
        <f t="shared" si="100"/>
        <v>0</v>
      </c>
      <c r="P224" s="216">
        <f t="shared" si="100"/>
        <v>0</v>
      </c>
      <c r="Q224" s="216">
        <f t="shared" si="100"/>
        <v>0</v>
      </c>
      <c r="R224" s="216">
        <f t="shared" si="100"/>
        <v>0</v>
      </c>
      <c r="S224" s="216">
        <f t="shared" si="100"/>
        <v>0</v>
      </c>
      <c r="T224" s="216">
        <f t="shared" si="100"/>
        <v>0</v>
      </c>
      <c r="U224" s="216" t="e">
        <f t="shared" si="100"/>
        <v>#REF!</v>
      </c>
      <c r="V224" s="216" t="e">
        <f t="shared" si="100"/>
        <v>#REF!</v>
      </c>
      <c r="W224" s="216" t="e">
        <f t="shared" si="100"/>
        <v>#REF!</v>
      </c>
      <c r="X224" s="216" t="e">
        <f t="shared" si="100"/>
        <v>#REF!</v>
      </c>
      <c r="Y224" s="216" t="e">
        <f t="shared" si="100"/>
        <v>#REF!</v>
      </c>
      <c r="Z224" s="216" t="e">
        <f t="shared" si="100"/>
        <v>#REF!</v>
      </c>
      <c r="AA224" s="216" t="e">
        <f t="shared" si="100"/>
        <v>#REF!</v>
      </c>
      <c r="AB224" s="216" t="e">
        <f t="shared" si="100"/>
        <v>#REF!</v>
      </c>
      <c r="AC224" s="216" t="e">
        <f t="shared" si="100"/>
        <v>#REF!</v>
      </c>
      <c r="AD224" s="216" t="e">
        <f t="shared" si="100"/>
        <v>#REF!</v>
      </c>
      <c r="AE224" s="216" t="e">
        <f t="shared" si="100"/>
        <v>#REF!</v>
      </c>
      <c r="AF224" s="216" t="e">
        <f t="shared" si="100"/>
        <v>#REF!</v>
      </c>
      <c r="AG224" s="216" t="e">
        <f t="shared" si="100"/>
        <v>#REF!</v>
      </c>
      <c r="AH224" s="216" t="e">
        <f t="shared" si="100"/>
        <v>#REF!</v>
      </c>
      <c r="AI224" s="216" t="e">
        <f t="shared" si="100"/>
        <v>#REF!</v>
      </c>
      <c r="AJ224" s="216" t="e">
        <f t="shared" si="100"/>
        <v>#REF!</v>
      </c>
      <c r="AK224" s="216" t="e">
        <f t="shared" si="100"/>
        <v>#REF!</v>
      </c>
      <c r="AL224" s="217" t="e">
        <f t="shared" si="100"/>
        <v>#REF!</v>
      </c>
      <c r="AM224" s="175"/>
    </row>
    <row r="225" spans="1:39" s="78" customFormat="1" ht="14.25" outlineLevel="2">
      <c r="A225" s="374"/>
      <c r="B225" s="272"/>
      <c r="C225" s="272"/>
      <c r="D225" s="190" t="s">
        <v>21</v>
      </c>
      <c r="E225" s="209">
        <f>+E21</f>
        <v>22089749.59</v>
      </c>
      <c r="F225" s="210">
        <f>+F21</f>
        <v>21767768.69</v>
      </c>
      <c r="G225" s="210">
        <f>+G21</f>
        <v>22390040</v>
      </c>
      <c r="H225" s="211">
        <f>+H21</f>
        <v>20539963.48</v>
      </c>
      <c r="I225" s="280">
        <f>+I21</f>
        <v>21687098.34</v>
      </c>
      <c r="J225" s="281">
        <f aca="true" t="shared" si="101" ref="J225:AL225">+J21</f>
        <v>19815010</v>
      </c>
      <c r="K225" s="281">
        <f t="shared" si="101"/>
        <v>20604965</v>
      </c>
      <c r="L225" s="281">
        <f t="shared" si="101"/>
        <v>19784865</v>
      </c>
      <c r="M225" s="281">
        <f t="shared" si="101"/>
        <v>20384865</v>
      </c>
      <c r="N225" s="281">
        <f t="shared" si="101"/>
        <v>21034485</v>
      </c>
      <c r="O225" s="281">
        <f t="shared" si="101"/>
        <v>21724449</v>
      </c>
      <c r="P225" s="281">
        <f t="shared" si="101"/>
        <v>22418449</v>
      </c>
      <c r="Q225" s="281">
        <f t="shared" si="101"/>
        <v>22751149</v>
      </c>
      <c r="R225" s="281">
        <f t="shared" si="101"/>
        <v>23220149</v>
      </c>
      <c r="S225" s="281">
        <f t="shared" si="101"/>
        <v>23746549</v>
      </c>
      <c r="T225" s="281">
        <f t="shared" si="101"/>
        <v>24445650</v>
      </c>
      <c r="U225" s="281" t="e">
        <f t="shared" si="101"/>
        <v>#REF!</v>
      </c>
      <c r="V225" s="281" t="e">
        <f t="shared" si="101"/>
        <v>#REF!</v>
      </c>
      <c r="W225" s="281" t="e">
        <f t="shared" si="101"/>
        <v>#REF!</v>
      </c>
      <c r="X225" s="281" t="e">
        <f t="shared" si="101"/>
        <v>#REF!</v>
      </c>
      <c r="Y225" s="281" t="e">
        <f t="shared" si="101"/>
        <v>#REF!</v>
      </c>
      <c r="Z225" s="281" t="e">
        <f t="shared" si="101"/>
        <v>#REF!</v>
      </c>
      <c r="AA225" s="281" t="e">
        <f t="shared" si="101"/>
        <v>#REF!</v>
      </c>
      <c r="AB225" s="281" t="e">
        <f t="shared" si="101"/>
        <v>#REF!</v>
      </c>
      <c r="AC225" s="281" t="e">
        <f t="shared" si="101"/>
        <v>#REF!</v>
      </c>
      <c r="AD225" s="281" t="e">
        <f t="shared" si="101"/>
        <v>#REF!</v>
      </c>
      <c r="AE225" s="281" t="e">
        <f t="shared" si="101"/>
        <v>#REF!</v>
      </c>
      <c r="AF225" s="281" t="e">
        <f t="shared" si="101"/>
        <v>#REF!</v>
      </c>
      <c r="AG225" s="281" t="e">
        <f t="shared" si="101"/>
        <v>#REF!</v>
      </c>
      <c r="AH225" s="281" t="e">
        <f t="shared" si="101"/>
        <v>#REF!</v>
      </c>
      <c r="AI225" s="281" t="e">
        <f t="shared" si="101"/>
        <v>#REF!</v>
      </c>
      <c r="AJ225" s="281" t="e">
        <f t="shared" si="101"/>
        <v>#REF!</v>
      </c>
      <c r="AK225" s="281" t="e">
        <f t="shared" si="101"/>
        <v>#REF!</v>
      </c>
      <c r="AL225" s="282" t="e">
        <f t="shared" si="101"/>
        <v>#REF!</v>
      </c>
      <c r="AM225" s="276"/>
    </row>
    <row r="226" spans="1:39" s="78" customFormat="1" ht="15" outlineLevel="2">
      <c r="A226" s="374"/>
      <c r="B226" s="189"/>
      <c r="C226" s="189"/>
      <c r="D226" s="202" t="s">
        <v>390</v>
      </c>
      <c r="E226" s="218">
        <f>+E21-E83-E86</f>
        <v>22089749.59</v>
      </c>
      <c r="F226" s="219">
        <f>+F21-F83-F86</f>
        <v>21767768.69</v>
      </c>
      <c r="G226" s="219">
        <f>+G21-G83-G86</f>
        <v>22390040</v>
      </c>
      <c r="H226" s="220">
        <f>+H21-H83-H86</f>
        <v>20539963.48</v>
      </c>
      <c r="I226" s="212">
        <f>+I21-I83-I86</f>
        <v>21523570.88</v>
      </c>
      <c r="J226" s="213">
        <f aca="true" t="shared" si="102" ref="J226:AL226">+J21-J83-J86</f>
        <v>19815010</v>
      </c>
      <c r="K226" s="213">
        <f t="shared" si="102"/>
        <v>20604965</v>
      </c>
      <c r="L226" s="213">
        <f t="shared" si="102"/>
        <v>19784865</v>
      </c>
      <c r="M226" s="213">
        <f t="shared" si="102"/>
        <v>20384865</v>
      </c>
      <c r="N226" s="213">
        <f t="shared" si="102"/>
        <v>21034485</v>
      </c>
      <c r="O226" s="213">
        <f t="shared" si="102"/>
        <v>21724449</v>
      </c>
      <c r="P226" s="213">
        <f t="shared" si="102"/>
        <v>22418449</v>
      </c>
      <c r="Q226" s="213">
        <f t="shared" si="102"/>
        <v>22751149</v>
      </c>
      <c r="R226" s="213">
        <f t="shared" si="102"/>
        <v>23220149</v>
      </c>
      <c r="S226" s="213">
        <f t="shared" si="102"/>
        <v>23746549</v>
      </c>
      <c r="T226" s="213">
        <f t="shared" si="102"/>
        <v>24445650</v>
      </c>
      <c r="U226" s="213" t="e">
        <f t="shared" si="102"/>
        <v>#REF!</v>
      </c>
      <c r="V226" s="213" t="e">
        <f t="shared" si="102"/>
        <v>#REF!</v>
      </c>
      <c r="W226" s="213" t="e">
        <f t="shared" si="102"/>
        <v>#REF!</v>
      </c>
      <c r="X226" s="213" t="e">
        <f t="shared" si="102"/>
        <v>#REF!</v>
      </c>
      <c r="Y226" s="213" t="e">
        <f t="shared" si="102"/>
        <v>#REF!</v>
      </c>
      <c r="Z226" s="213" t="e">
        <f t="shared" si="102"/>
        <v>#REF!</v>
      </c>
      <c r="AA226" s="213" t="e">
        <f t="shared" si="102"/>
        <v>#REF!</v>
      </c>
      <c r="AB226" s="213" t="e">
        <f t="shared" si="102"/>
        <v>#REF!</v>
      </c>
      <c r="AC226" s="213" t="e">
        <f t="shared" si="102"/>
        <v>#REF!</v>
      </c>
      <c r="AD226" s="213" t="e">
        <f t="shared" si="102"/>
        <v>#REF!</v>
      </c>
      <c r="AE226" s="213" t="e">
        <f t="shared" si="102"/>
        <v>#REF!</v>
      </c>
      <c r="AF226" s="213" t="e">
        <f t="shared" si="102"/>
        <v>#REF!</v>
      </c>
      <c r="AG226" s="213" t="e">
        <f t="shared" si="102"/>
        <v>#REF!</v>
      </c>
      <c r="AH226" s="213" t="e">
        <f t="shared" si="102"/>
        <v>#REF!</v>
      </c>
      <c r="AI226" s="213" t="e">
        <f t="shared" si="102"/>
        <v>#REF!</v>
      </c>
      <c r="AJ226" s="213" t="e">
        <f t="shared" si="102"/>
        <v>#REF!</v>
      </c>
      <c r="AK226" s="213" t="e">
        <f t="shared" si="102"/>
        <v>#REF!</v>
      </c>
      <c r="AL226" s="214" t="e">
        <f t="shared" si="102"/>
        <v>#REF!</v>
      </c>
      <c r="AM226" s="175"/>
    </row>
    <row r="227" spans="1:39" s="78" customFormat="1" ht="14.25" outlineLevel="2">
      <c r="A227" s="374"/>
      <c r="B227" s="272"/>
      <c r="C227" s="272"/>
      <c r="D227" s="203" t="s">
        <v>37</v>
      </c>
      <c r="E227" s="261">
        <f>+E22</f>
        <v>14506921.92</v>
      </c>
      <c r="F227" s="262">
        <f>+F22</f>
        <v>15158377.44</v>
      </c>
      <c r="G227" s="262">
        <f>+G22</f>
        <v>17619717</v>
      </c>
      <c r="H227" s="263">
        <f>+H22</f>
        <v>16837409.82</v>
      </c>
      <c r="I227" s="283">
        <f>+I22</f>
        <v>19126038.34</v>
      </c>
      <c r="J227" s="284">
        <f aca="true" t="shared" si="103" ref="J227:AL227">+J22</f>
        <v>18607000</v>
      </c>
      <c r="K227" s="284">
        <f t="shared" si="103"/>
        <v>18853975</v>
      </c>
      <c r="L227" s="284">
        <f t="shared" si="103"/>
        <v>19201000</v>
      </c>
      <c r="M227" s="284">
        <f t="shared" si="103"/>
        <v>19530000</v>
      </c>
      <c r="N227" s="284">
        <f t="shared" si="103"/>
        <v>19884000</v>
      </c>
      <c r="O227" s="284">
        <f t="shared" si="103"/>
        <v>20247000</v>
      </c>
      <c r="P227" s="284">
        <f t="shared" si="103"/>
        <v>20600000</v>
      </c>
      <c r="Q227" s="284">
        <f t="shared" si="103"/>
        <v>20779000</v>
      </c>
      <c r="R227" s="284">
        <f t="shared" si="103"/>
        <v>20954000</v>
      </c>
      <c r="S227" s="284">
        <f t="shared" si="103"/>
        <v>21136000</v>
      </c>
      <c r="T227" s="284">
        <f t="shared" si="103"/>
        <v>21326000</v>
      </c>
      <c r="U227" s="284" t="e">
        <f t="shared" si="103"/>
        <v>#REF!</v>
      </c>
      <c r="V227" s="284" t="e">
        <f t="shared" si="103"/>
        <v>#REF!</v>
      </c>
      <c r="W227" s="284" t="e">
        <f t="shared" si="103"/>
        <v>#REF!</v>
      </c>
      <c r="X227" s="284" t="e">
        <f t="shared" si="103"/>
        <v>#REF!</v>
      </c>
      <c r="Y227" s="284" t="e">
        <f t="shared" si="103"/>
        <v>#REF!</v>
      </c>
      <c r="Z227" s="284" t="e">
        <f t="shared" si="103"/>
        <v>#REF!</v>
      </c>
      <c r="AA227" s="284" t="e">
        <f t="shared" si="103"/>
        <v>#REF!</v>
      </c>
      <c r="AB227" s="284" t="e">
        <f t="shared" si="103"/>
        <v>#REF!</v>
      </c>
      <c r="AC227" s="284" t="e">
        <f t="shared" si="103"/>
        <v>#REF!</v>
      </c>
      <c r="AD227" s="284" t="e">
        <f t="shared" si="103"/>
        <v>#REF!</v>
      </c>
      <c r="AE227" s="284" t="e">
        <f t="shared" si="103"/>
        <v>#REF!</v>
      </c>
      <c r="AF227" s="284" t="e">
        <f t="shared" si="103"/>
        <v>#REF!</v>
      </c>
      <c r="AG227" s="284" t="e">
        <f t="shared" si="103"/>
        <v>#REF!</v>
      </c>
      <c r="AH227" s="284" t="e">
        <f t="shared" si="103"/>
        <v>#REF!</v>
      </c>
      <c r="AI227" s="284" t="e">
        <f t="shared" si="103"/>
        <v>#REF!</v>
      </c>
      <c r="AJ227" s="284" t="e">
        <f t="shared" si="103"/>
        <v>#REF!</v>
      </c>
      <c r="AK227" s="284" t="e">
        <f t="shared" si="103"/>
        <v>#REF!</v>
      </c>
      <c r="AL227" s="285" t="e">
        <f t="shared" si="103"/>
        <v>#REF!</v>
      </c>
      <c r="AM227" s="276"/>
    </row>
    <row r="228" spans="1:39" s="78" customFormat="1" ht="15" outlineLevel="2">
      <c r="A228" s="374"/>
      <c r="B228" s="189"/>
      <c r="C228" s="189"/>
      <c r="D228" s="197" t="s">
        <v>39</v>
      </c>
      <c r="E228" s="218">
        <f>+E22-E83</f>
        <v>14506921.92</v>
      </c>
      <c r="F228" s="219">
        <f>+F22-F83</f>
        <v>15158377.44</v>
      </c>
      <c r="G228" s="219">
        <f>+G22-G83</f>
        <v>17619717</v>
      </c>
      <c r="H228" s="220">
        <f>+H22-H83</f>
        <v>16837409.82</v>
      </c>
      <c r="I228" s="212">
        <f>+I22-I83</f>
        <v>19057656.88</v>
      </c>
      <c r="J228" s="213">
        <f aca="true" t="shared" si="104" ref="J228:AL228">+J22-J83</f>
        <v>18607000</v>
      </c>
      <c r="K228" s="213">
        <f t="shared" si="104"/>
        <v>18853975</v>
      </c>
      <c r="L228" s="213">
        <f t="shared" si="104"/>
        <v>19201000</v>
      </c>
      <c r="M228" s="213">
        <f t="shared" si="104"/>
        <v>19530000</v>
      </c>
      <c r="N228" s="213">
        <f t="shared" si="104"/>
        <v>19884000</v>
      </c>
      <c r="O228" s="213">
        <f t="shared" si="104"/>
        <v>20247000</v>
      </c>
      <c r="P228" s="213">
        <f t="shared" si="104"/>
        <v>20600000</v>
      </c>
      <c r="Q228" s="213">
        <f t="shared" si="104"/>
        <v>20779000</v>
      </c>
      <c r="R228" s="213">
        <f t="shared" si="104"/>
        <v>20954000</v>
      </c>
      <c r="S228" s="213">
        <f t="shared" si="104"/>
        <v>21136000</v>
      </c>
      <c r="T228" s="213">
        <f t="shared" si="104"/>
        <v>21326000</v>
      </c>
      <c r="U228" s="213" t="e">
        <f t="shared" si="104"/>
        <v>#REF!</v>
      </c>
      <c r="V228" s="213" t="e">
        <f t="shared" si="104"/>
        <v>#REF!</v>
      </c>
      <c r="W228" s="213" t="e">
        <f t="shared" si="104"/>
        <v>#REF!</v>
      </c>
      <c r="X228" s="213" t="e">
        <f t="shared" si="104"/>
        <v>#REF!</v>
      </c>
      <c r="Y228" s="213" t="e">
        <f t="shared" si="104"/>
        <v>#REF!</v>
      </c>
      <c r="Z228" s="213" t="e">
        <f t="shared" si="104"/>
        <v>#REF!</v>
      </c>
      <c r="AA228" s="213" t="e">
        <f t="shared" si="104"/>
        <v>#REF!</v>
      </c>
      <c r="AB228" s="213" t="e">
        <f t="shared" si="104"/>
        <v>#REF!</v>
      </c>
      <c r="AC228" s="213" t="e">
        <f t="shared" si="104"/>
        <v>#REF!</v>
      </c>
      <c r="AD228" s="213" t="e">
        <f t="shared" si="104"/>
        <v>#REF!</v>
      </c>
      <c r="AE228" s="213" t="e">
        <f t="shared" si="104"/>
        <v>#REF!</v>
      </c>
      <c r="AF228" s="213" t="e">
        <f t="shared" si="104"/>
        <v>#REF!</v>
      </c>
      <c r="AG228" s="213" t="e">
        <f t="shared" si="104"/>
        <v>#REF!</v>
      </c>
      <c r="AH228" s="213" t="e">
        <f t="shared" si="104"/>
        <v>#REF!</v>
      </c>
      <c r="AI228" s="213" t="e">
        <f t="shared" si="104"/>
        <v>#REF!</v>
      </c>
      <c r="AJ228" s="213" t="e">
        <f t="shared" si="104"/>
        <v>#REF!</v>
      </c>
      <c r="AK228" s="213" t="e">
        <f t="shared" si="104"/>
        <v>#REF!</v>
      </c>
      <c r="AL228" s="214" t="e">
        <f t="shared" si="104"/>
        <v>#REF!</v>
      </c>
      <c r="AM228" s="175"/>
    </row>
    <row r="229" spans="1:39" s="78" customFormat="1" ht="15" outlineLevel="2">
      <c r="A229" s="374"/>
      <c r="B229" s="189"/>
      <c r="C229" s="189"/>
      <c r="D229" s="197" t="s">
        <v>38</v>
      </c>
      <c r="E229" s="218">
        <f>+E68</f>
        <v>5900000</v>
      </c>
      <c r="F229" s="219">
        <f>+F68</f>
        <v>6400000</v>
      </c>
      <c r="G229" s="219">
        <f>+G68</f>
        <v>6922323.12</v>
      </c>
      <c r="H229" s="220">
        <f>+H68</f>
        <v>0</v>
      </c>
      <c r="I229" s="212">
        <f>+I68</f>
        <v>7698600.8</v>
      </c>
      <c r="J229" s="213">
        <f aca="true" t="shared" si="105" ref="J229:AL229">+J68</f>
        <v>7861000</v>
      </c>
      <c r="K229" s="213">
        <f t="shared" si="105"/>
        <v>8019000</v>
      </c>
      <c r="L229" s="213">
        <f t="shared" si="105"/>
        <v>8179000</v>
      </c>
      <c r="M229" s="213">
        <f t="shared" si="105"/>
        <v>0</v>
      </c>
      <c r="N229" s="213">
        <f t="shared" si="105"/>
        <v>0</v>
      </c>
      <c r="O229" s="213">
        <f t="shared" si="105"/>
        <v>0</v>
      </c>
      <c r="P229" s="213">
        <f t="shared" si="105"/>
        <v>0</v>
      </c>
      <c r="Q229" s="213">
        <f t="shared" si="105"/>
        <v>0</v>
      </c>
      <c r="R229" s="213">
        <f t="shared" si="105"/>
        <v>0</v>
      </c>
      <c r="S229" s="213">
        <f t="shared" si="105"/>
        <v>0</v>
      </c>
      <c r="T229" s="213">
        <f t="shared" si="105"/>
        <v>0</v>
      </c>
      <c r="U229" s="213" t="e">
        <f t="shared" si="105"/>
        <v>#REF!</v>
      </c>
      <c r="V229" s="213" t="e">
        <f t="shared" si="105"/>
        <v>#REF!</v>
      </c>
      <c r="W229" s="213" t="e">
        <f t="shared" si="105"/>
        <v>#REF!</v>
      </c>
      <c r="X229" s="213" t="e">
        <f t="shared" si="105"/>
        <v>#REF!</v>
      </c>
      <c r="Y229" s="213" t="e">
        <f t="shared" si="105"/>
        <v>#REF!</v>
      </c>
      <c r="Z229" s="213" t="e">
        <f t="shared" si="105"/>
        <v>#REF!</v>
      </c>
      <c r="AA229" s="213" t="e">
        <f t="shared" si="105"/>
        <v>#REF!</v>
      </c>
      <c r="AB229" s="213" t="e">
        <f t="shared" si="105"/>
        <v>#REF!</v>
      </c>
      <c r="AC229" s="213" t="e">
        <f t="shared" si="105"/>
        <v>#REF!</v>
      </c>
      <c r="AD229" s="213" t="e">
        <f t="shared" si="105"/>
        <v>#REF!</v>
      </c>
      <c r="AE229" s="213" t="e">
        <f t="shared" si="105"/>
        <v>#REF!</v>
      </c>
      <c r="AF229" s="213" t="e">
        <f t="shared" si="105"/>
        <v>#REF!</v>
      </c>
      <c r="AG229" s="213" t="e">
        <f t="shared" si="105"/>
        <v>#REF!</v>
      </c>
      <c r="AH229" s="213" t="e">
        <f t="shared" si="105"/>
        <v>#REF!</v>
      </c>
      <c r="AI229" s="213" t="e">
        <f t="shared" si="105"/>
        <v>#REF!</v>
      </c>
      <c r="AJ229" s="213" t="e">
        <f t="shared" si="105"/>
        <v>#REF!</v>
      </c>
      <c r="AK229" s="213" t="e">
        <f t="shared" si="105"/>
        <v>#REF!</v>
      </c>
      <c r="AL229" s="214" t="e">
        <f t="shared" si="105"/>
        <v>#REF!</v>
      </c>
      <c r="AM229" s="175"/>
    </row>
    <row r="230" spans="1:39" s="78" customFormat="1" ht="24" outlineLevel="2">
      <c r="A230" s="374"/>
      <c r="B230" s="189"/>
      <c r="C230" s="189"/>
      <c r="D230" s="198" t="s">
        <v>389</v>
      </c>
      <c r="E230" s="221">
        <f>+E22-E23-E26-E68-E69</f>
        <v>8275747.08</v>
      </c>
      <c r="F230" s="222">
        <f>+F22-F23-F26-F68-F69</f>
        <v>8327911.469999999</v>
      </c>
      <c r="G230" s="222">
        <f>+G22-G23-G26-G68-G69</f>
        <v>10174393.879999999</v>
      </c>
      <c r="H230" s="223">
        <f>+H22-H23-H26-H68-H69</f>
        <v>14779145.75</v>
      </c>
      <c r="I230" s="215">
        <f>+I22-I23-I26-I68-I69</f>
        <v>9267587.54</v>
      </c>
      <c r="J230" s="216">
        <f aca="true" t="shared" si="106" ref="J230:AL230">+J22-J23-J26-J68-J69</f>
        <v>8601000</v>
      </c>
      <c r="K230" s="216">
        <f t="shared" si="106"/>
        <v>8740975</v>
      </c>
      <c r="L230" s="216">
        <f t="shared" si="106"/>
        <v>8903000</v>
      </c>
      <c r="M230" s="216">
        <f t="shared" si="106"/>
        <v>19245000</v>
      </c>
      <c r="N230" s="216">
        <f t="shared" si="106"/>
        <v>19640000</v>
      </c>
      <c r="O230" s="216">
        <f t="shared" si="106"/>
        <v>20045000</v>
      </c>
      <c r="P230" s="216">
        <f t="shared" si="106"/>
        <v>20437000</v>
      </c>
      <c r="Q230" s="216">
        <f t="shared" si="106"/>
        <v>20649000</v>
      </c>
      <c r="R230" s="216">
        <f t="shared" si="106"/>
        <v>20864000</v>
      </c>
      <c r="S230" s="216">
        <f t="shared" si="106"/>
        <v>21085000</v>
      </c>
      <c r="T230" s="216">
        <f t="shared" si="106"/>
        <v>21308000</v>
      </c>
      <c r="U230" s="216" t="e">
        <f t="shared" si="106"/>
        <v>#REF!</v>
      </c>
      <c r="V230" s="216" t="e">
        <f t="shared" si="106"/>
        <v>#REF!</v>
      </c>
      <c r="W230" s="216" t="e">
        <f t="shared" si="106"/>
        <v>#REF!</v>
      </c>
      <c r="X230" s="216" t="e">
        <f t="shared" si="106"/>
        <v>#REF!</v>
      </c>
      <c r="Y230" s="216" t="e">
        <f t="shared" si="106"/>
        <v>#REF!</v>
      </c>
      <c r="Z230" s="216" t="e">
        <f t="shared" si="106"/>
        <v>#REF!</v>
      </c>
      <c r="AA230" s="216" t="e">
        <f t="shared" si="106"/>
        <v>#REF!</v>
      </c>
      <c r="AB230" s="216" t="e">
        <f t="shared" si="106"/>
        <v>#REF!</v>
      </c>
      <c r="AC230" s="216" t="e">
        <f t="shared" si="106"/>
        <v>#REF!</v>
      </c>
      <c r="AD230" s="216" t="e">
        <f t="shared" si="106"/>
        <v>#REF!</v>
      </c>
      <c r="AE230" s="216" t="e">
        <f t="shared" si="106"/>
        <v>#REF!</v>
      </c>
      <c r="AF230" s="216" t="e">
        <f t="shared" si="106"/>
        <v>#REF!</v>
      </c>
      <c r="AG230" s="216" t="e">
        <f t="shared" si="106"/>
        <v>#REF!</v>
      </c>
      <c r="AH230" s="216" t="e">
        <f t="shared" si="106"/>
        <v>#REF!</v>
      </c>
      <c r="AI230" s="216" t="e">
        <f t="shared" si="106"/>
        <v>#REF!</v>
      </c>
      <c r="AJ230" s="216" t="e">
        <f t="shared" si="106"/>
        <v>#REF!</v>
      </c>
      <c r="AK230" s="216" t="e">
        <f t="shared" si="106"/>
        <v>#REF!</v>
      </c>
      <c r="AL230" s="217" t="e">
        <f t="shared" si="106"/>
        <v>#REF!</v>
      </c>
      <c r="AM230" s="175"/>
    </row>
    <row r="231" spans="1:38" s="78" customFormat="1" ht="14.25" outlineLevel="2">
      <c r="A231" s="374"/>
      <c r="B231" s="1"/>
      <c r="C231" s="1"/>
      <c r="D231" s="25"/>
      <c r="E231" s="76"/>
      <c r="F231" s="76"/>
      <c r="G231" s="76"/>
      <c r="H231" s="7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</row>
    <row r="232" spans="1:38" s="78" customFormat="1" ht="14.25" outlineLevel="1">
      <c r="A232" s="374"/>
      <c r="B232" s="1"/>
      <c r="C232" s="1"/>
      <c r="D232" s="303" t="s">
        <v>441</v>
      </c>
      <c r="E232" s="73"/>
      <c r="F232" s="73"/>
      <c r="G232" s="418" t="s">
        <v>474</v>
      </c>
      <c r="H232" s="418" t="s">
        <v>476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9" s="78" customFormat="1" ht="15" outlineLevel="2">
      <c r="A233" s="374"/>
      <c r="B233" s="286"/>
      <c r="C233" s="286"/>
      <c r="D233" s="8" t="s">
        <v>26</v>
      </c>
      <c r="E233" s="397" t="s">
        <v>31</v>
      </c>
      <c r="F233" s="103">
        <f aca="true" t="shared" si="107" ref="F233:AL234">+IF(E10&lt;&gt;0,F10/E10,"-")</f>
        <v>1.0929087389699133</v>
      </c>
      <c r="G233" s="103">
        <f t="shared" si="107"/>
        <v>1.3443737693751077</v>
      </c>
      <c r="H233" s="104">
        <f>+IF(F10&lt;&gt;0,H10/F10,"-")</f>
        <v>1.2743976293543182</v>
      </c>
      <c r="I233" s="91">
        <f t="shared" si="107"/>
        <v>0.89372899351377</v>
      </c>
      <c r="J233" s="92">
        <f t="shared" si="107"/>
        <v>0.9012360432939084</v>
      </c>
      <c r="K233" s="92">
        <f t="shared" si="107"/>
        <v>1.0568741783708802</v>
      </c>
      <c r="L233" s="92">
        <f t="shared" si="107"/>
        <v>0.9867009867009867</v>
      </c>
      <c r="M233" s="92">
        <f t="shared" si="107"/>
        <v>1.0289855072463767</v>
      </c>
      <c r="N233" s="92">
        <f t="shared" si="107"/>
        <v>1.028169014084507</v>
      </c>
      <c r="O233" s="92">
        <f t="shared" si="107"/>
        <v>1.0273972602739727</v>
      </c>
      <c r="P233" s="92">
        <f t="shared" si="107"/>
        <v>1.0222222222222221</v>
      </c>
      <c r="Q233" s="92">
        <f t="shared" si="107"/>
        <v>1.0203478260869565</v>
      </c>
      <c r="R233" s="92">
        <f t="shared" si="107"/>
        <v>1.0199846599625022</v>
      </c>
      <c r="S233" s="92">
        <f t="shared" si="107"/>
        <v>1.0200108618456782</v>
      </c>
      <c r="T233" s="92">
        <f t="shared" si="107"/>
        <v>1.0198230668414154</v>
      </c>
      <c r="U233" s="92" t="e">
        <f t="shared" si="107"/>
        <v>#REF!</v>
      </c>
      <c r="V233" s="92" t="e">
        <f t="shared" si="107"/>
        <v>#REF!</v>
      </c>
      <c r="W233" s="92" t="e">
        <f t="shared" si="107"/>
        <v>#REF!</v>
      </c>
      <c r="X233" s="92" t="e">
        <f t="shared" si="107"/>
        <v>#REF!</v>
      </c>
      <c r="Y233" s="92" t="e">
        <f t="shared" si="107"/>
        <v>#REF!</v>
      </c>
      <c r="Z233" s="92" t="e">
        <f t="shared" si="107"/>
        <v>#REF!</v>
      </c>
      <c r="AA233" s="92" t="e">
        <f t="shared" si="107"/>
        <v>#REF!</v>
      </c>
      <c r="AB233" s="92" t="e">
        <f t="shared" si="107"/>
        <v>#REF!</v>
      </c>
      <c r="AC233" s="92" t="e">
        <f t="shared" si="107"/>
        <v>#REF!</v>
      </c>
      <c r="AD233" s="92" t="e">
        <f t="shared" si="107"/>
        <v>#REF!</v>
      </c>
      <c r="AE233" s="92" t="e">
        <f t="shared" si="107"/>
        <v>#REF!</v>
      </c>
      <c r="AF233" s="92" t="e">
        <f t="shared" si="107"/>
        <v>#REF!</v>
      </c>
      <c r="AG233" s="92" t="e">
        <f t="shared" si="107"/>
        <v>#REF!</v>
      </c>
      <c r="AH233" s="92" t="e">
        <f t="shared" si="107"/>
        <v>#REF!</v>
      </c>
      <c r="AI233" s="92" t="e">
        <f t="shared" si="107"/>
        <v>#REF!</v>
      </c>
      <c r="AJ233" s="92" t="e">
        <f t="shared" si="107"/>
        <v>#REF!</v>
      </c>
      <c r="AK233" s="92" t="e">
        <f t="shared" si="107"/>
        <v>#REF!</v>
      </c>
      <c r="AL233" s="93" t="e">
        <f t="shared" si="107"/>
        <v>#REF!</v>
      </c>
      <c r="AM233" s="41"/>
    </row>
    <row r="234" spans="1:38" s="78" customFormat="1" ht="14.25" outlineLevel="2">
      <c r="A234" s="374"/>
      <c r="B234" s="1"/>
      <c r="C234" s="1"/>
      <c r="D234" s="9" t="s">
        <v>226</v>
      </c>
      <c r="E234" s="398" t="s">
        <v>31</v>
      </c>
      <c r="F234" s="105">
        <f t="shared" si="107"/>
        <v>1.128862620845768</v>
      </c>
      <c r="G234" s="105">
        <f t="shared" si="107"/>
        <v>0.9850414835019304</v>
      </c>
      <c r="H234" s="106">
        <f>+IF(F11&lt;&gt;0,H11/F11,"-")</f>
        <v>0.9901823673267559</v>
      </c>
      <c r="I234" s="94">
        <f t="shared" si="107"/>
        <v>1.0886469398590528</v>
      </c>
      <c r="J234" s="95">
        <f t="shared" si="107"/>
        <v>0.9996592702988942</v>
      </c>
      <c r="K234" s="95">
        <f t="shared" si="107"/>
        <v>1.0414483489546267</v>
      </c>
      <c r="L234" s="95">
        <f t="shared" si="107"/>
        <v>1.0298507462686568</v>
      </c>
      <c r="M234" s="95">
        <f t="shared" si="107"/>
        <v>1.0289855072463767</v>
      </c>
      <c r="N234" s="95">
        <f t="shared" si="107"/>
        <v>1.028169014084507</v>
      </c>
      <c r="O234" s="95">
        <f t="shared" si="107"/>
        <v>1.0273972602739727</v>
      </c>
      <c r="P234" s="95">
        <f t="shared" si="107"/>
        <v>1.0222222222222221</v>
      </c>
      <c r="Q234" s="95">
        <f t="shared" si="107"/>
        <v>1.0203478260869565</v>
      </c>
      <c r="R234" s="95">
        <f t="shared" si="107"/>
        <v>1.0199846599625022</v>
      </c>
      <c r="S234" s="95">
        <f t="shared" si="107"/>
        <v>1.0200108618456782</v>
      </c>
      <c r="T234" s="95">
        <f t="shared" si="107"/>
        <v>1.0198230668414154</v>
      </c>
      <c r="U234" s="95" t="e">
        <f t="shared" si="107"/>
        <v>#REF!</v>
      </c>
      <c r="V234" s="95" t="e">
        <f t="shared" si="107"/>
        <v>#REF!</v>
      </c>
      <c r="W234" s="95" t="e">
        <f t="shared" si="107"/>
        <v>#REF!</v>
      </c>
      <c r="X234" s="95" t="e">
        <f t="shared" si="107"/>
        <v>#REF!</v>
      </c>
      <c r="Y234" s="95" t="e">
        <f t="shared" si="107"/>
        <v>#REF!</v>
      </c>
      <c r="Z234" s="95" t="e">
        <f t="shared" si="107"/>
        <v>#REF!</v>
      </c>
      <c r="AA234" s="95" t="e">
        <f t="shared" si="107"/>
        <v>#REF!</v>
      </c>
      <c r="AB234" s="95" t="e">
        <f t="shared" si="107"/>
        <v>#REF!</v>
      </c>
      <c r="AC234" s="95" t="e">
        <f t="shared" si="107"/>
        <v>#REF!</v>
      </c>
      <c r="AD234" s="95" t="e">
        <f t="shared" si="107"/>
        <v>#REF!</v>
      </c>
      <c r="AE234" s="95" t="e">
        <f t="shared" si="107"/>
        <v>#REF!</v>
      </c>
      <c r="AF234" s="95" t="e">
        <f t="shared" si="107"/>
        <v>#REF!</v>
      </c>
      <c r="AG234" s="95" t="e">
        <f t="shared" si="107"/>
        <v>#REF!</v>
      </c>
      <c r="AH234" s="95" t="e">
        <f t="shared" si="107"/>
        <v>#REF!</v>
      </c>
      <c r="AI234" s="95" t="e">
        <f t="shared" si="107"/>
        <v>#REF!</v>
      </c>
      <c r="AJ234" s="95" t="e">
        <f t="shared" si="107"/>
        <v>#REF!</v>
      </c>
      <c r="AK234" s="95" t="e">
        <f t="shared" si="107"/>
        <v>#REF!</v>
      </c>
      <c r="AL234" s="96" t="e">
        <f t="shared" si="107"/>
        <v>#REF!</v>
      </c>
    </row>
    <row r="235" spans="1:38" s="78" customFormat="1" ht="24" outlineLevel="2">
      <c r="A235" s="374"/>
      <c r="B235" s="1"/>
      <c r="C235" s="1"/>
      <c r="D235" s="10" t="s">
        <v>397</v>
      </c>
      <c r="E235" s="399" t="s">
        <v>31</v>
      </c>
      <c r="F235" s="107" t="str">
        <f>+IF((E77)&lt;&gt;0,(F77)/(E77),"-")</f>
        <v>-</v>
      </c>
      <c r="G235" s="107" t="str">
        <f>+IF((F77)&lt;&gt;0,(G77)/(F77),"-")</f>
        <v>-</v>
      </c>
      <c r="H235" s="108" t="str">
        <f>+IF((F77)&lt;&gt;0,(H77)/(F77),"-")</f>
        <v>-</v>
      </c>
      <c r="I235" s="94" t="str">
        <f>+IF((H77)&lt;&gt;0,(I77)/(H77),"-")</f>
        <v>-</v>
      </c>
      <c r="J235" s="95">
        <f aca="true" t="shared" si="108" ref="J235:AL235">+IF((I77)&lt;&gt;0,(J77)/(I77),"-")</f>
        <v>0</v>
      </c>
      <c r="K235" s="95" t="str">
        <f t="shared" si="108"/>
        <v>-</v>
      </c>
      <c r="L235" s="95" t="str">
        <f t="shared" si="108"/>
        <v>-</v>
      </c>
      <c r="M235" s="95" t="str">
        <f t="shared" si="108"/>
        <v>-</v>
      </c>
      <c r="N235" s="95" t="str">
        <f t="shared" si="108"/>
        <v>-</v>
      </c>
      <c r="O235" s="95" t="str">
        <f t="shared" si="108"/>
        <v>-</v>
      </c>
      <c r="P235" s="95" t="str">
        <f t="shared" si="108"/>
        <v>-</v>
      </c>
      <c r="Q235" s="95" t="str">
        <f t="shared" si="108"/>
        <v>-</v>
      </c>
      <c r="R235" s="95" t="str">
        <f t="shared" si="108"/>
        <v>-</v>
      </c>
      <c r="S235" s="95" t="str">
        <f t="shared" si="108"/>
        <v>-</v>
      </c>
      <c r="T235" s="95" t="str">
        <f t="shared" si="108"/>
        <v>-</v>
      </c>
      <c r="U235" s="95" t="str">
        <f t="shared" si="108"/>
        <v>-</v>
      </c>
      <c r="V235" s="95" t="e">
        <f t="shared" si="108"/>
        <v>#REF!</v>
      </c>
      <c r="W235" s="95" t="e">
        <f t="shared" si="108"/>
        <v>#REF!</v>
      </c>
      <c r="X235" s="95" t="e">
        <f t="shared" si="108"/>
        <v>#REF!</v>
      </c>
      <c r="Y235" s="95" t="e">
        <f t="shared" si="108"/>
        <v>#REF!</v>
      </c>
      <c r="Z235" s="95" t="e">
        <f t="shared" si="108"/>
        <v>#REF!</v>
      </c>
      <c r="AA235" s="95" t="e">
        <f t="shared" si="108"/>
        <v>#REF!</v>
      </c>
      <c r="AB235" s="95" t="e">
        <f t="shared" si="108"/>
        <v>#REF!</v>
      </c>
      <c r="AC235" s="95" t="e">
        <f t="shared" si="108"/>
        <v>#REF!</v>
      </c>
      <c r="AD235" s="95" t="e">
        <f t="shared" si="108"/>
        <v>#REF!</v>
      </c>
      <c r="AE235" s="95" t="e">
        <f t="shared" si="108"/>
        <v>#REF!</v>
      </c>
      <c r="AF235" s="95" t="e">
        <f t="shared" si="108"/>
        <v>#REF!</v>
      </c>
      <c r="AG235" s="95" t="e">
        <f t="shared" si="108"/>
        <v>#REF!</v>
      </c>
      <c r="AH235" s="95" t="e">
        <f t="shared" si="108"/>
        <v>#REF!</v>
      </c>
      <c r="AI235" s="95" t="e">
        <f t="shared" si="108"/>
        <v>#REF!</v>
      </c>
      <c r="AJ235" s="95" t="e">
        <f t="shared" si="108"/>
        <v>#REF!</v>
      </c>
      <c r="AK235" s="95" t="e">
        <f t="shared" si="108"/>
        <v>#REF!</v>
      </c>
      <c r="AL235" s="96" t="e">
        <f t="shared" si="108"/>
        <v>#REF!</v>
      </c>
    </row>
    <row r="236" spans="1:38" s="78" customFormat="1" ht="14.25" outlineLevel="2">
      <c r="A236" s="374"/>
      <c r="B236" s="1"/>
      <c r="C236" s="1"/>
      <c r="D236" s="9" t="s">
        <v>29</v>
      </c>
      <c r="E236" s="398" t="s">
        <v>31</v>
      </c>
      <c r="F236" s="105">
        <f aca="true" t="shared" si="109" ref="F236:AL237">+IF(E18&lt;&gt;0,F18/E18,"-")</f>
        <v>0.7808959753119575</v>
      </c>
      <c r="G236" s="105">
        <f t="shared" si="109"/>
        <v>5.852236901402965</v>
      </c>
      <c r="H236" s="106">
        <f>+IF(F18&lt;&gt;0,H18/F18,"-")</f>
        <v>4.839909417810402</v>
      </c>
      <c r="I236" s="94">
        <f t="shared" si="109"/>
        <v>0.39345922037595893</v>
      </c>
      <c r="J236" s="95">
        <f t="shared" si="109"/>
        <v>0.2023001155317569</v>
      </c>
      <c r="K236" s="95">
        <f t="shared" si="109"/>
        <v>1.5981818181818181</v>
      </c>
      <c r="L236" s="95">
        <f t="shared" si="109"/>
        <v>0</v>
      </c>
      <c r="M236" s="95" t="str">
        <f t="shared" si="109"/>
        <v>-</v>
      </c>
      <c r="N236" s="95" t="str">
        <f t="shared" si="109"/>
        <v>-</v>
      </c>
      <c r="O236" s="95" t="str">
        <f t="shared" si="109"/>
        <v>-</v>
      </c>
      <c r="P236" s="95" t="str">
        <f t="shared" si="109"/>
        <v>-</v>
      </c>
      <c r="Q236" s="95" t="str">
        <f t="shared" si="109"/>
        <v>-</v>
      </c>
      <c r="R236" s="95" t="str">
        <f t="shared" si="109"/>
        <v>-</v>
      </c>
      <c r="S236" s="95" t="str">
        <f t="shared" si="109"/>
        <v>-</v>
      </c>
      <c r="T236" s="95" t="str">
        <f t="shared" si="109"/>
        <v>-</v>
      </c>
      <c r="U236" s="95" t="str">
        <f t="shared" si="109"/>
        <v>-</v>
      </c>
      <c r="V236" s="95" t="e">
        <f t="shared" si="109"/>
        <v>#REF!</v>
      </c>
      <c r="W236" s="95" t="e">
        <f t="shared" si="109"/>
        <v>#REF!</v>
      </c>
      <c r="X236" s="95" t="e">
        <f t="shared" si="109"/>
        <v>#REF!</v>
      </c>
      <c r="Y236" s="95" t="e">
        <f t="shared" si="109"/>
        <v>#REF!</v>
      </c>
      <c r="Z236" s="95" t="e">
        <f t="shared" si="109"/>
        <v>#REF!</v>
      </c>
      <c r="AA236" s="95" t="e">
        <f t="shared" si="109"/>
        <v>#REF!</v>
      </c>
      <c r="AB236" s="95" t="e">
        <f t="shared" si="109"/>
        <v>#REF!</v>
      </c>
      <c r="AC236" s="95" t="e">
        <f t="shared" si="109"/>
        <v>#REF!</v>
      </c>
      <c r="AD236" s="95" t="e">
        <f t="shared" si="109"/>
        <v>#REF!</v>
      </c>
      <c r="AE236" s="95" t="e">
        <f t="shared" si="109"/>
        <v>#REF!</v>
      </c>
      <c r="AF236" s="95" t="e">
        <f t="shared" si="109"/>
        <v>#REF!</v>
      </c>
      <c r="AG236" s="95" t="e">
        <f t="shared" si="109"/>
        <v>#REF!</v>
      </c>
      <c r="AH236" s="95" t="e">
        <f t="shared" si="109"/>
        <v>#REF!</v>
      </c>
      <c r="AI236" s="95" t="e">
        <f t="shared" si="109"/>
        <v>#REF!</v>
      </c>
      <c r="AJ236" s="95" t="e">
        <f t="shared" si="109"/>
        <v>#REF!</v>
      </c>
      <c r="AK236" s="95" t="e">
        <f t="shared" si="109"/>
        <v>#REF!</v>
      </c>
      <c r="AL236" s="96" t="e">
        <f t="shared" si="109"/>
        <v>#REF!</v>
      </c>
    </row>
    <row r="237" spans="1:38" s="78" customFormat="1" ht="14.25" outlineLevel="2">
      <c r="A237" s="374"/>
      <c r="B237" s="1"/>
      <c r="C237" s="1"/>
      <c r="D237" s="11" t="s">
        <v>30</v>
      </c>
      <c r="E237" s="398" t="s">
        <v>31</v>
      </c>
      <c r="F237" s="105">
        <f t="shared" si="109"/>
        <v>0.8293873943217693</v>
      </c>
      <c r="G237" s="105">
        <f t="shared" si="109"/>
        <v>4.6650331698338725</v>
      </c>
      <c r="H237" s="106">
        <f>+IF(F19&lt;&gt;0,H19/F19,"-")</f>
        <v>3.68086860172424</v>
      </c>
      <c r="I237" s="94">
        <f t="shared" si="109"/>
        <v>0.6429737833752412</v>
      </c>
      <c r="J237" s="95">
        <f t="shared" si="109"/>
        <v>0.3810986172356354</v>
      </c>
      <c r="K237" s="95">
        <f t="shared" si="109"/>
        <v>0.5927272727272728</v>
      </c>
      <c r="L237" s="95">
        <f t="shared" si="109"/>
        <v>0</v>
      </c>
      <c r="M237" s="95" t="str">
        <f t="shared" si="109"/>
        <v>-</v>
      </c>
      <c r="N237" s="95" t="str">
        <f t="shared" si="109"/>
        <v>-</v>
      </c>
      <c r="O237" s="95" t="str">
        <f t="shared" si="109"/>
        <v>-</v>
      </c>
      <c r="P237" s="95" t="str">
        <f t="shared" si="109"/>
        <v>-</v>
      </c>
      <c r="Q237" s="95" t="str">
        <f t="shared" si="109"/>
        <v>-</v>
      </c>
      <c r="R237" s="95" t="str">
        <f t="shared" si="109"/>
        <v>-</v>
      </c>
      <c r="S237" s="95" t="str">
        <f t="shared" si="109"/>
        <v>-</v>
      </c>
      <c r="T237" s="95" t="str">
        <f t="shared" si="109"/>
        <v>-</v>
      </c>
      <c r="U237" s="95" t="str">
        <f t="shared" si="109"/>
        <v>-</v>
      </c>
      <c r="V237" s="95" t="e">
        <f t="shared" si="109"/>
        <v>#REF!</v>
      </c>
      <c r="W237" s="95" t="e">
        <f t="shared" si="109"/>
        <v>#REF!</v>
      </c>
      <c r="X237" s="95" t="e">
        <f t="shared" si="109"/>
        <v>#REF!</v>
      </c>
      <c r="Y237" s="95" t="e">
        <f t="shared" si="109"/>
        <v>#REF!</v>
      </c>
      <c r="Z237" s="95" t="e">
        <f t="shared" si="109"/>
        <v>#REF!</v>
      </c>
      <c r="AA237" s="95" t="e">
        <f t="shared" si="109"/>
        <v>#REF!</v>
      </c>
      <c r="AB237" s="95" t="e">
        <f t="shared" si="109"/>
        <v>#REF!</v>
      </c>
      <c r="AC237" s="95" t="e">
        <f t="shared" si="109"/>
        <v>#REF!</v>
      </c>
      <c r="AD237" s="95" t="e">
        <f t="shared" si="109"/>
        <v>#REF!</v>
      </c>
      <c r="AE237" s="95" t="e">
        <f t="shared" si="109"/>
        <v>#REF!</v>
      </c>
      <c r="AF237" s="95" t="e">
        <f t="shared" si="109"/>
        <v>#REF!</v>
      </c>
      <c r="AG237" s="95" t="e">
        <f t="shared" si="109"/>
        <v>#REF!</v>
      </c>
      <c r="AH237" s="95" t="e">
        <f t="shared" si="109"/>
        <v>#REF!</v>
      </c>
      <c r="AI237" s="95" t="e">
        <f t="shared" si="109"/>
        <v>#REF!</v>
      </c>
      <c r="AJ237" s="95" t="e">
        <f t="shared" si="109"/>
        <v>#REF!</v>
      </c>
      <c r="AK237" s="95" t="e">
        <f t="shared" si="109"/>
        <v>#REF!</v>
      </c>
      <c r="AL237" s="96" t="e">
        <f t="shared" si="109"/>
        <v>#REF!</v>
      </c>
    </row>
    <row r="238" spans="1:38" s="78" customFormat="1" ht="24" outlineLevel="2">
      <c r="A238" s="374"/>
      <c r="B238" s="1"/>
      <c r="C238" s="1"/>
      <c r="D238" s="14" t="s">
        <v>397</v>
      </c>
      <c r="E238" s="400" t="s">
        <v>31</v>
      </c>
      <c r="F238" s="109" t="str">
        <f>+IF((E80)&lt;&gt;0,(F80)/(E80),"-")</f>
        <v>-</v>
      </c>
      <c r="G238" s="109" t="str">
        <f>+IF((F80)&lt;&gt;0,(G80)/(F80),"-")</f>
        <v>-</v>
      </c>
      <c r="H238" s="110" t="str">
        <f>+IF((F80)&lt;&gt;0,(H80)/(F80),"-")</f>
        <v>-</v>
      </c>
      <c r="I238" s="97" t="str">
        <f>+IF((H80)&lt;&gt;0,(I80)/(H80),"-")</f>
        <v>-</v>
      </c>
      <c r="J238" s="98">
        <f aca="true" t="shared" si="110" ref="J238:AL238">+IF((I80)&lt;&gt;0,(J80)/(I80),"-")</f>
        <v>0</v>
      </c>
      <c r="K238" s="98" t="str">
        <f t="shared" si="110"/>
        <v>-</v>
      </c>
      <c r="L238" s="98" t="str">
        <f t="shared" si="110"/>
        <v>-</v>
      </c>
      <c r="M238" s="98" t="str">
        <f t="shared" si="110"/>
        <v>-</v>
      </c>
      <c r="N238" s="98" t="str">
        <f t="shared" si="110"/>
        <v>-</v>
      </c>
      <c r="O238" s="98" t="str">
        <f t="shared" si="110"/>
        <v>-</v>
      </c>
      <c r="P238" s="98" t="str">
        <f t="shared" si="110"/>
        <v>-</v>
      </c>
      <c r="Q238" s="98" t="str">
        <f t="shared" si="110"/>
        <v>-</v>
      </c>
      <c r="R238" s="98" t="str">
        <f t="shared" si="110"/>
        <v>-</v>
      </c>
      <c r="S238" s="98" t="str">
        <f t="shared" si="110"/>
        <v>-</v>
      </c>
      <c r="T238" s="98" t="str">
        <f t="shared" si="110"/>
        <v>-</v>
      </c>
      <c r="U238" s="98" t="str">
        <f t="shared" si="110"/>
        <v>-</v>
      </c>
      <c r="V238" s="98" t="e">
        <f t="shared" si="110"/>
        <v>#REF!</v>
      </c>
      <c r="W238" s="98" t="e">
        <f t="shared" si="110"/>
        <v>#REF!</v>
      </c>
      <c r="X238" s="98" t="e">
        <f t="shared" si="110"/>
        <v>#REF!</v>
      </c>
      <c r="Y238" s="98" t="e">
        <f t="shared" si="110"/>
        <v>#REF!</v>
      </c>
      <c r="Z238" s="98" t="e">
        <f t="shared" si="110"/>
        <v>#REF!</v>
      </c>
      <c r="AA238" s="98" t="e">
        <f t="shared" si="110"/>
        <v>#REF!</v>
      </c>
      <c r="AB238" s="98" t="e">
        <f t="shared" si="110"/>
        <v>#REF!</v>
      </c>
      <c r="AC238" s="98" t="e">
        <f t="shared" si="110"/>
        <v>#REF!</v>
      </c>
      <c r="AD238" s="98" t="e">
        <f t="shared" si="110"/>
        <v>#REF!</v>
      </c>
      <c r="AE238" s="98" t="e">
        <f t="shared" si="110"/>
        <v>#REF!</v>
      </c>
      <c r="AF238" s="98" t="e">
        <f t="shared" si="110"/>
        <v>#REF!</v>
      </c>
      <c r="AG238" s="98" t="e">
        <f t="shared" si="110"/>
        <v>#REF!</v>
      </c>
      <c r="AH238" s="98" t="e">
        <f t="shared" si="110"/>
        <v>#REF!</v>
      </c>
      <c r="AI238" s="98" t="e">
        <f t="shared" si="110"/>
        <v>#REF!</v>
      </c>
      <c r="AJ238" s="98" t="e">
        <f t="shared" si="110"/>
        <v>#REF!</v>
      </c>
      <c r="AK238" s="98" t="e">
        <f t="shared" si="110"/>
        <v>#REF!</v>
      </c>
      <c r="AL238" s="99" t="e">
        <f t="shared" si="110"/>
        <v>#REF!</v>
      </c>
    </row>
    <row r="239" spans="1:39" s="78" customFormat="1" ht="15" outlineLevel="2">
      <c r="A239" s="374"/>
      <c r="B239" s="286"/>
      <c r="C239" s="286"/>
      <c r="D239" s="8" t="s">
        <v>21</v>
      </c>
      <c r="E239" s="397" t="s">
        <v>31</v>
      </c>
      <c r="F239" s="103">
        <f aca="true" t="shared" si="111" ref="F239:AL240">+IF(E21&lt;&gt;0,F21/E21,"-")</f>
        <v>0.9854239678594746</v>
      </c>
      <c r="G239" s="103">
        <f t="shared" si="111"/>
        <v>1.0285868211327451</v>
      </c>
      <c r="H239" s="104">
        <f>+IF(F21&lt;&gt;0,H21/F21,"-")</f>
        <v>0.9435952656661568</v>
      </c>
      <c r="I239" s="91">
        <f t="shared" si="111"/>
        <v>1.0558489240312905</v>
      </c>
      <c r="J239" s="92">
        <f t="shared" si="111"/>
        <v>0.9136773250782428</v>
      </c>
      <c r="K239" s="92">
        <f t="shared" si="111"/>
        <v>1.0398664951468608</v>
      </c>
      <c r="L239" s="92">
        <f t="shared" si="111"/>
        <v>0.9601989132230994</v>
      </c>
      <c r="M239" s="92">
        <f t="shared" si="111"/>
        <v>1.0303262114752867</v>
      </c>
      <c r="N239" s="92">
        <f t="shared" si="111"/>
        <v>1.031867760713647</v>
      </c>
      <c r="O239" s="92">
        <f t="shared" si="111"/>
        <v>1.0328015637178662</v>
      </c>
      <c r="P239" s="92">
        <f t="shared" si="111"/>
        <v>1.031945574315832</v>
      </c>
      <c r="Q239" s="92">
        <f t="shared" si="111"/>
        <v>1.014840455733579</v>
      </c>
      <c r="R239" s="92">
        <f t="shared" si="111"/>
        <v>1.0206143434777735</v>
      </c>
      <c r="S239" s="92">
        <f t="shared" si="111"/>
        <v>1.0226699665019376</v>
      </c>
      <c r="T239" s="92">
        <f t="shared" si="111"/>
        <v>1.0294401093817884</v>
      </c>
      <c r="U239" s="92" t="e">
        <f t="shared" si="111"/>
        <v>#REF!</v>
      </c>
      <c r="V239" s="92" t="e">
        <f t="shared" si="111"/>
        <v>#REF!</v>
      </c>
      <c r="W239" s="92" t="e">
        <f t="shared" si="111"/>
        <v>#REF!</v>
      </c>
      <c r="X239" s="92" t="e">
        <f t="shared" si="111"/>
        <v>#REF!</v>
      </c>
      <c r="Y239" s="92" t="e">
        <f t="shared" si="111"/>
        <v>#REF!</v>
      </c>
      <c r="Z239" s="92" t="e">
        <f t="shared" si="111"/>
        <v>#REF!</v>
      </c>
      <c r="AA239" s="92" t="e">
        <f t="shared" si="111"/>
        <v>#REF!</v>
      </c>
      <c r="AB239" s="92" t="e">
        <f t="shared" si="111"/>
        <v>#REF!</v>
      </c>
      <c r="AC239" s="92" t="e">
        <f t="shared" si="111"/>
        <v>#REF!</v>
      </c>
      <c r="AD239" s="92" t="e">
        <f t="shared" si="111"/>
        <v>#REF!</v>
      </c>
      <c r="AE239" s="92" t="e">
        <f t="shared" si="111"/>
        <v>#REF!</v>
      </c>
      <c r="AF239" s="92" t="e">
        <f t="shared" si="111"/>
        <v>#REF!</v>
      </c>
      <c r="AG239" s="92" t="e">
        <f t="shared" si="111"/>
        <v>#REF!</v>
      </c>
      <c r="AH239" s="92" t="e">
        <f t="shared" si="111"/>
        <v>#REF!</v>
      </c>
      <c r="AI239" s="92" t="e">
        <f t="shared" si="111"/>
        <v>#REF!</v>
      </c>
      <c r="AJ239" s="92" t="e">
        <f t="shared" si="111"/>
        <v>#REF!</v>
      </c>
      <c r="AK239" s="92" t="e">
        <f t="shared" si="111"/>
        <v>#REF!</v>
      </c>
      <c r="AL239" s="93" t="e">
        <f t="shared" si="111"/>
        <v>#REF!</v>
      </c>
      <c r="AM239" s="41"/>
    </row>
    <row r="240" spans="1:38" s="78" customFormat="1" ht="14.25" outlineLevel="2">
      <c r="A240" s="374"/>
      <c r="B240" s="1"/>
      <c r="C240" s="1"/>
      <c r="D240" s="9" t="s">
        <v>222</v>
      </c>
      <c r="E240" s="398" t="s">
        <v>31</v>
      </c>
      <c r="F240" s="105">
        <f t="shared" si="111"/>
        <v>1.0449065296961355</v>
      </c>
      <c r="G240" s="105">
        <f t="shared" si="111"/>
        <v>1.1623748695889446</v>
      </c>
      <c r="H240" s="106">
        <f>+IF(F22&lt;&gt;0,H22/F22,"-")</f>
        <v>1.1107659699493537</v>
      </c>
      <c r="I240" s="94">
        <f t="shared" si="111"/>
        <v>1.1359252132285511</v>
      </c>
      <c r="J240" s="95">
        <f t="shared" si="111"/>
        <v>0.9728622137646515</v>
      </c>
      <c r="K240" s="95">
        <f t="shared" si="111"/>
        <v>1.0132732305046488</v>
      </c>
      <c r="L240" s="95">
        <f t="shared" si="111"/>
        <v>1.0184059329663904</v>
      </c>
      <c r="M240" s="95">
        <f t="shared" si="111"/>
        <v>1.017134524243529</v>
      </c>
      <c r="N240" s="95">
        <f t="shared" si="111"/>
        <v>1.0181259600614438</v>
      </c>
      <c r="O240" s="95">
        <f t="shared" si="111"/>
        <v>1.018255884127942</v>
      </c>
      <c r="P240" s="95">
        <f t="shared" si="111"/>
        <v>1.0174346816812367</v>
      </c>
      <c r="Q240" s="95">
        <f t="shared" si="111"/>
        <v>1.0086893203883496</v>
      </c>
      <c r="R240" s="95">
        <f t="shared" si="111"/>
        <v>1.0084219644833727</v>
      </c>
      <c r="S240" s="95">
        <f t="shared" si="111"/>
        <v>1.0086856924692182</v>
      </c>
      <c r="T240" s="95">
        <f t="shared" si="111"/>
        <v>1.008989401968206</v>
      </c>
      <c r="U240" s="95" t="e">
        <f t="shared" si="111"/>
        <v>#REF!</v>
      </c>
      <c r="V240" s="95" t="e">
        <f t="shared" si="111"/>
        <v>#REF!</v>
      </c>
      <c r="W240" s="95" t="e">
        <f t="shared" si="111"/>
        <v>#REF!</v>
      </c>
      <c r="X240" s="95" t="e">
        <f t="shared" si="111"/>
        <v>#REF!</v>
      </c>
      <c r="Y240" s="95" t="e">
        <f t="shared" si="111"/>
        <v>#REF!</v>
      </c>
      <c r="Z240" s="95" t="e">
        <f t="shared" si="111"/>
        <v>#REF!</v>
      </c>
      <c r="AA240" s="95" t="e">
        <f t="shared" si="111"/>
        <v>#REF!</v>
      </c>
      <c r="AB240" s="95" t="e">
        <f t="shared" si="111"/>
        <v>#REF!</v>
      </c>
      <c r="AC240" s="95" t="e">
        <f t="shared" si="111"/>
        <v>#REF!</v>
      </c>
      <c r="AD240" s="95" t="e">
        <f t="shared" si="111"/>
        <v>#REF!</v>
      </c>
      <c r="AE240" s="95" t="e">
        <f t="shared" si="111"/>
        <v>#REF!</v>
      </c>
      <c r="AF240" s="95" t="e">
        <f t="shared" si="111"/>
        <v>#REF!</v>
      </c>
      <c r="AG240" s="95" t="e">
        <f t="shared" si="111"/>
        <v>#REF!</v>
      </c>
      <c r="AH240" s="95" t="e">
        <f t="shared" si="111"/>
        <v>#REF!</v>
      </c>
      <c r="AI240" s="95" t="e">
        <f t="shared" si="111"/>
        <v>#REF!</v>
      </c>
      <c r="AJ240" s="95" t="e">
        <f t="shared" si="111"/>
        <v>#REF!</v>
      </c>
      <c r="AK240" s="95" t="e">
        <f t="shared" si="111"/>
        <v>#REF!</v>
      </c>
      <c r="AL240" s="96" t="e">
        <f t="shared" si="111"/>
        <v>#REF!</v>
      </c>
    </row>
    <row r="241" spans="1:38" s="78" customFormat="1" ht="14.25" outlineLevel="2">
      <c r="A241" s="374"/>
      <c r="B241" s="1"/>
      <c r="C241" s="1"/>
      <c r="D241" s="10" t="s">
        <v>395</v>
      </c>
      <c r="E241" s="398" t="s">
        <v>31</v>
      </c>
      <c r="F241" s="105">
        <f>+IF((E22-E26)&lt;&gt;0,(F22-F26)/(E22-E26),"-")</f>
        <v>1.0389513432261377</v>
      </c>
      <c r="G241" s="105">
        <f>+IF((F22-F26)&lt;&gt;0,(G22-G26)/(F22-F26),"-")</f>
        <v>1.16083784417262</v>
      </c>
      <c r="H241" s="106">
        <f>+IF((F22-F26)&lt;&gt;0,(H22-H26)/(F22-F26),"-")</f>
        <v>1.1105454567211628</v>
      </c>
      <c r="I241" s="94">
        <f>+IF((H22-H26)&lt;&gt;0,(I22-I26)/(H22-H26),"-")</f>
        <v>1.1415395587457138</v>
      </c>
      <c r="J241" s="95">
        <f aca="true" t="shared" si="112" ref="J241:AL241">+IF((I22-I26)&lt;&gt;0,(J22-J26)/(I22-I26),"-")</f>
        <v>0.9747717115983384</v>
      </c>
      <c r="K241" s="95">
        <f t="shared" si="112"/>
        <v>1.0178557692307693</v>
      </c>
      <c r="L241" s="95">
        <f t="shared" si="112"/>
        <v>1.0188947623411098</v>
      </c>
      <c r="M241" s="95">
        <f t="shared" si="112"/>
        <v>1.0196026490066226</v>
      </c>
      <c r="N241" s="95">
        <f t="shared" si="112"/>
        <v>1.0205248116393868</v>
      </c>
      <c r="O241" s="95">
        <f t="shared" si="112"/>
        <v>1.020621181262729</v>
      </c>
      <c r="P241" s="95">
        <f t="shared" si="112"/>
        <v>1.019555999002245</v>
      </c>
      <c r="Q241" s="95">
        <f t="shared" si="112"/>
        <v>1.010373342467094</v>
      </c>
      <c r="R241" s="95">
        <f t="shared" si="112"/>
        <v>1.0104121264952297</v>
      </c>
      <c r="S241" s="95">
        <f t="shared" si="112"/>
        <v>1.01059240797546</v>
      </c>
      <c r="T241" s="95">
        <f t="shared" si="112"/>
        <v>1.0105762390324875</v>
      </c>
      <c r="U241" s="95" t="e">
        <f t="shared" si="112"/>
        <v>#REF!</v>
      </c>
      <c r="V241" s="95" t="e">
        <f t="shared" si="112"/>
        <v>#REF!</v>
      </c>
      <c r="W241" s="95" t="e">
        <f t="shared" si="112"/>
        <v>#REF!</v>
      </c>
      <c r="X241" s="95" t="e">
        <f t="shared" si="112"/>
        <v>#REF!</v>
      </c>
      <c r="Y241" s="95" t="e">
        <f t="shared" si="112"/>
        <v>#REF!</v>
      </c>
      <c r="Z241" s="95" t="e">
        <f t="shared" si="112"/>
        <v>#REF!</v>
      </c>
      <c r="AA241" s="95" t="e">
        <f t="shared" si="112"/>
        <v>#REF!</v>
      </c>
      <c r="AB241" s="95" t="e">
        <f t="shared" si="112"/>
        <v>#REF!</v>
      </c>
      <c r="AC241" s="95" t="e">
        <f t="shared" si="112"/>
        <v>#REF!</v>
      </c>
      <c r="AD241" s="95" t="e">
        <f t="shared" si="112"/>
        <v>#REF!</v>
      </c>
      <c r="AE241" s="95" t="e">
        <f t="shared" si="112"/>
        <v>#REF!</v>
      </c>
      <c r="AF241" s="95" t="e">
        <f t="shared" si="112"/>
        <v>#REF!</v>
      </c>
      <c r="AG241" s="95" t="e">
        <f t="shared" si="112"/>
        <v>#REF!</v>
      </c>
      <c r="AH241" s="95" t="e">
        <f t="shared" si="112"/>
        <v>#REF!</v>
      </c>
      <c r="AI241" s="95" t="e">
        <f t="shared" si="112"/>
        <v>#REF!</v>
      </c>
      <c r="AJ241" s="95" t="e">
        <f t="shared" si="112"/>
        <v>#REF!</v>
      </c>
      <c r="AK241" s="95" t="e">
        <f t="shared" si="112"/>
        <v>#REF!</v>
      </c>
      <c r="AL241" s="96" t="e">
        <f t="shared" si="112"/>
        <v>#REF!</v>
      </c>
    </row>
    <row r="242" spans="1:38" s="78" customFormat="1" ht="24" outlineLevel="2">
      <c r="A242" s="374"/>
      <c r="B242" s="1"/>
      <c r="C242" s="1"/>
      <c r="D242" s="10" t="s">
        <v>397</v>
      </c>
      <c r="E242" s="398" t="s">
        <v>31</v>
      </c>
      <c r="F242" s="105" t="str">
        <f>+IF(E83&lt;&gt;0,F83/E83,"-")</f>
        <v>-</v>
      </c>
      <c r="G242" s="105" t="str">
        <f>+IF(F83&lt;&gt;0,G83/F83,"-")</f>
        <v>-</v>
      </c>
      <c r="H242" s="106" t="str">
        <f>+IF(F83&lt;&gt;0,H83/F83,"-")</f>
        <v>-</v>
      </c>
      <c r="I242" s="94" t="str">
        <f>+IF(H83&lt;&gt;0,I83/H83,"-")</f>
        <v>-</v>
      </c>
      <c r="J242" s="95">
        <f aca="true" t="shared" si="113" ref="J242:AL242">+IF(I83&lt;&gt;0,J83/I83,"-")</f>
        <v>0</v>
      </c>
      <c r="K242" s="95" t="str">
        <f t="shared" si="113"/>
        <v>-</v>
      </c>
      <c r="L242" s="95" t="str">
        <f t="shared" si="113"/>
        <v>-</v>
      </c>
      <c r="M242" s="95" t="str">
        <f t="shared" si="113"/>
        <v>-</v>
      </c>
      <c r="N242" s="95" t="str">
        <f t="shared" si="113"/>
        <v>-</v>
      </c>
      <c r="O242" s="95" t="str">
        <f t="shared" si="113"/>
        <v>-</v>
      </c>
      <c r="P242" s="95" t="str">
        <f t="shared" si="113"/>
        <v>-</v>
      </c>
      <c r="Q242" s="95" t="str">
        <f t="shared" si="113"/>
        <v>-</v>
      </c>
      <c r="R242" s="95" t="str">
        <f t="shared" si="113"/>
        <v>-</v>
      </c>
      <c r="S242" s="95" t="str">
        <f t="shared" si="113"/>
        <v>-</v>
      </c>
      <c r="T242" s="95" t="str">
        <f t="shared" si="113"/>
        <v>-</v>
      </c>
      <c r="U242" s="95" t="str">
        <f t="shared" si="113"/>
        <v>-</v>
      </c>
      <c r="V242" s="95" t="e">
        <f t="shared" si="113"/>
        <v>#REF!</v>
      </c>
      <c r="W242" s="95" t="e">
        <f t="shared" si="113"/>
        <v>#REF!</v>
      </c>
      <c r="X242" s="95" t="e">
        <f t="shared" si="113"/>
        <v>#REF!</v>
      </c>
      <c r="Y242" s="95" t="e">
        <f t="shared" si="113"/>
        <v>#REF!</v>
      </c>
      <c r="Z242" s="95" t="e">
        <f t="shared" si="113"/>
        <v>#REF!</v>
      </c>
      <c r="AA242" s="95" t="e">
        <f t="shared" si="113"/>
        <v>#REF!</v>
      </c>
      <c r="AB242" s="95" t="e">
        <f t="shared" si="113"/>
        <v>#REF!</v>
      </c>
      <c r="AC242" s="95" t="e">
        <f t="shared" si="113"/>
        <v>#REF!</v>
      </c>
      <c r="AD242" s="95" t="e">
        <f t="shared" si="113"/>
        <v>#REF!</v>
      </c>
      <c r="AE242" s="95" t="e">
        <f t="shared" si="113"/>
        <v>#REF!</v>
      </c>
      <c r="AF242" s="95" t="e">
        <f t="shared" si="113"/>
        <v>#REF!</v>
      </c>
      <c r="AG242" s="95" t="e">
        <f t="shared" si="113"/>
        <v>#REF!</v>
      </c>
      <c r="AH242" s="95" t="e">
        <f t="shared" si="113"/>
        <v>#REF!</v>
      </c>
      <c r="AI242" s="95" t="e">
        <f t="shared" si="113"/>
        <v>#REF!</v>
      </c>
      <c r="AJ242" s="95" t="e">
        <f t="shared" si="113"/>
        <v>#REF!</v>
      </c>
      <c r="AK242" s="95" t="e">
        <f t="shared" si="113"/>
        <v>#REF!</v>
      </c>
      <c r="AL242" s="96" t="e">
        <f t="shared" si="113"/>
        <v>#REF!</v>
      </c>
    </row>
    <row r="243" spans="1:38" s="78" customFormat="1" ht="14.25" outlineLevel="2">
      <c r="A243" s="374"/>
      <c r="B243" s="1"/>
      <c r="C243" s="1"/>
      <c r="D243" s="10" t="s">
        <v>223</v>
      </c>
      <c r="E243" s="398" t="s">
        <v>31</v>
      </c>
      <c r="F243" s="105" t="str">
        <f aca="true" t="shared" si="114" ref="F243:AL244">+IF(E23&lt;&gt;0,F23/E23,"-")</f>
        <v>-</v>
      </c>
      <c r="G243" s="105" t="str">
        <f t="shared" si="114"/>
        <v>-</v>
      </c>
      <c r="H243" s="106" t="str">
        <f>+IF(F23&lt;&gt;0,H23/F23,"-")</f>
        <v>-</v>
      </c>
      <c r="I243" s="94" t="str">
        <f t="shared" si="114"/>
        <v>-</v>
      </c>
      <c r="J243" s="95" t="str">
        <f t="shared" si="114"/>
        <v>-</v>
      </c>
      <c r="K243" s="95" t="str">
        <f t="shared" si="114"/>
        <v>-</v>
      </c>
      <c r="L243" s="95" t="str">
        <f t="shared" si="114"/>
        <v>-</v>
      </c>
      <c r="M243" s="95" t="str">
        <f t="shared" si="114"/>
        <v>-</v>
      </c>
      <c r="N243" s="95" t="str">
        <f t="shared" si="114"/>
        <v>-</v>
      </c>
      <c r="O243" s="95" t="str">
        <f t="shared" si="114"/>
        <v>-</v>
      </c>
      <c r="P243" s="95" t="str">
        <f t="shared" si="114"/>
        <v>-</v>
      </c>
      <c r="Q243" s="95" t="str">
        <f t="shared" si="114"/>
        <v>-</v>
      </c>
      <c r="R243" s="95" t="str">
        <f t="shared" si="114"/>
        <v>-</v>
      </c>
      <c r="S243" s="95" t="str">
        <f t="shared" si="114"/>
        <v>-</v>
      </c>
      <c r="T243" s="95" t="str">
        <f t="shared" si="114"/>
        <v>-</v>
      </c>
      <c r="U243" s="95" t="str">
        <f t="shared" si="114"/>
        <v>-</v>
      </c>
      <c r="V243" s="95" t="e">
        <f t="shared" si="114"/>
        <v>#REF!</v>
      </c>
      <c r="W243" s="95" t="e">
        <f t="shared" si="114"/>
        <v>#REF!</v>
      </c>
      <c r="X243" s="95" t="e">
        <f t="shared" si="114"/>
        <v>#REF!</v>
      </c>
      <c r="Y243" s="95" t="e">
        <f t="shared" si="114"/>
        <v>#REF!</v>
      </c>
      <c r="Z243" s="95" t="e">
        <f t="shared" si="114"/>
        <v>#REF!</v>
      </c>
      <c r="AA243" s="95" t="e">
        <f t="shared" si="114"/>
        <v>#REF!</v>
      </c>
      <c r="AB243" s="95" t="e">
        <f t="shared" si="114"/>
        <v>#REF!</v>
      </c>
      <c r="AC243" s="95" t="e">
        <f t="shared" si="114"/>
        <v>#REF!</v>
      </c>
      <c r="AD243" s="95" t="e">
        <f t="shared" si="114"/>
        <v>#REF!</v>
      </c>
      <c r="AE243" s="95" t="e">
        <f t="shared" si="114"/>
        <v>#REF!</v>
      </c>
      <c r="AF243" s="95" t="e">
        <f t="shared" si="114"/>
        <v>#REF!</v>
      </c>
      <c r="AG243" s="95" t="e">
        <f t="shared" si="114"/>
        <v>#REF!</v>
      </c>
      <c r="AH243" s="95" t="e">
        <f t="shared" si="114"/>
        <v>#REF!</v>
      </c>
      <c r="AI243" s="95" t="e">
        <f t="shared" si="114"/>
        <v>#REF!</v>
      </c>
      <c r="AJ243" s="95" t="e">
        <f t="shared" si="114"/>
        <v>#REF!</v>
      </c>
      <c r="AK243" s="95" t="e">
        <f t="shared" si="114"/>
        <v>#REF!</v>
      </c>
      <c r="AL243" s="96" t="e">
        <f t="shared" si="114"/>
        <v>#REF!</v>
      </c>
    </row>
    <row r="244" spans="1:38" s="78" customFormat="1" ht="24" outlineLevel="2">
      <c r="A244" s="374"/>
      <c r="B244" s="1"/>
      <c r="C244" s="1"/>
      <c r="D244" s="12" t="s">
        <v>396</v>
      </c>
      <c r="E244" s="398" t="s">
        <v>31</v>
      </c>
      <c r="F244" s="105" t="str">
        <f t="shared" si="114"/>
        <v>-</v>
      </c>
      <c r="G244" s="105" t="str">
        <f t="shared" si="114"/>
        <v>-</v>
      </c>
      <c r="H244" s="106" t="str">
        <f>+IF(F24&lt;&gt;0,H24/F24,"-")</f>
        <v>-</v>
      </c>
      <c r="I244" s="94" t="str">
        <f t="shared" si="114"/>
        <v>-</v>
      </c>
      <c r="J244" s="95" t="str">
        <f t="shared" si="114"/>
        <v>-</v>
      </c>
      <c r="K244" s="95" t="str">
        <f t="shared" si="114"/>
        <v>-</v>
      </c>
      <c r="L244" s="95" t="str">
        <f t="shared" si="114"/>
        <v>-</v>
      </c>
      <c r="M244" s="95" t="str">
        <f t="shared" si="114"/>
        <v>-</v>
      </c>
      <c r="N244" s="95" t="str">
        <f t="shared" si="114"/>
        <v>-</v>
      </c>
      <c r="O244" s="95" t="str">
        <f t="shared" si="114"/>
        <v>-</v>
      </c>
      <c r="P244" s="95" t="str">
        <f t="shared" si="114"/>
        <v>-</v>
      </c>
      <c r="Q244" s="95" t="str">
        <f t="shared" si="114"/>
        <v>-</v>
      </c>
      <c r="R244" s="95" t="str">
        <f t="shared" si="114"/>
        <v>-</v>
      </c>
      <c r="S244" s="95" t="str">
        <f t="shared" si="114"/>
        <v>-</v>
      </c>
      <c r="T244" s="95" t="str">
        <f t="shared" si="114"/>
        <v>-</v>
      </c>
      <c r="U244" s="95" t="str">
        <f t="shared" si="114"/>
        <v>-</v>
      </c>
      <c r="V244" s="95" t="e">
        <f t="shared" si="114"/>
        <v>#REF!</v>
      </c>
      <c r="W244" s="95" t="e">
        <f t="shared" si="114"/>
        <v>#REF!</v>
      </c>
      <c r="X244" s="95" t="e">
        <f t="shared" si="114"/>
        <v>#REF!</v>
      </c>
      <c r="Y244" s="95" t="e">
        <f t="shared" si="114"/>
        <v>#REF!</v>
      </c>
      <c r="Z244" s="95" t="e">
        <f t="shared" si="114"/>
        <v>#REF!</v>
      </c>
      <c r="AA244" s="95" t="e">
        <f t="shared" si="114"/>
        <v>#REF!</v>
      </c>
      <c r="AB244" s="95" t="e">
        <f t="shared" si="114"/>
        <v>#REF!</v>
      </c>
      <c r="AC244" s="95" t="e">
        <f t="shared" si="114"/>
        <v>#REF!</v>
      </c>
      <c r="AD244" s="95" t="e">
        <f t="shared" si="114"/>
        <v>#REF!</v>
      </c>
      <c r="AE244" s="95" t="e">
        <f t="shared" si="114"/>
        <v>#REF!</v>
      </c>
      <c r="AF244" s="95" t="e">
        <f t="shared" si="114"/>
        <v>#REF!</v>
      </c>
      <c r="AG244" s="95" t="e">
        <f t="shared" si="114"/>
        <v>#REF!</v>
      </c>
      <c r="AH244" s="95" t="e">
        <f t="shared" si="114"/>
        <v>#REF!</v>
      </c>
      <c r="AI244" s="95" t="e">
        <f t="shared" si="114"/>
        <v>#REF!</v>
      </c>
      <c r="AJ244" s="95" t="e">
        <f t="shared" si="114"/>
        <v>#REF!</v>
      </c>
      <c r="AK244" s="95" t="e">
        <f t="shared" si="114"/>
        <v>#REF!</v>
      </c>
      <c r="AL244" s="96" t="e">
        <f t="shared" si="114"/>
        <v>#REF!</v>
      </c>
    </row>
    <row r="245" spans="1:38" s="78" customFormat="1" ht="14.25" outlineLevel="2">
      <c r="A245" s="374"/>
      <c r="B245" s="1"/>
      <c r="C245" s="1"/>
      <c r="D245" s="10" t="s">
        <v>398</v>
      </c>
      <c r="E245" s="398" t="s">
        <v>31</v>
      </c>
      <c r="F245" s="105">
        <f aca="true" t="shared" si="115" ref="F245:AL247">+IF(E26&lt;&gt;0,F26/E26,"-")</f>
        <v>1.2998148349675354</v>
      </c>
      <c r="G245" s="105">
        <f t="shared" si="115"/>
        <v>1.2149624742694527</v>
      </c>
      <c r="H245" s="106">
        <f>+IF(F26&lt;&gt;0,H26/F26,"-")</f>
        <v>1.1183105832965148</v>
      </c>
      <c r="I245" s="94">
        <f t="shared" si="115"/>
        <v>0.9451704542208768</v>
      </c>
      <c r="J245" s="95">
        <f t="shared" si="115"/>
        <v>0.8945054945054945</v>
      </c>
      <c r="K245" s="95">
        <f t="shared" si="115"/>
        <v>0.8083538083538083</v>
      </c>
      <c r="L245" s="95">
        <f t="shared" si="115"/>
        <v>0.9908814589665653</v>
      </c>
      <c r="M245" s="95">
        <f t="shared" si="115"/>
        <v>0.8742331288343558</v>
      </c>
      <c r="N245" s="95">
        <f t="shared" si="115"/>
        <v>0.856140350877193</v>
      </c>
      <c r="O245" s="95">
        <f t="shared" si="115"/>
        <v>0.8278688524590164</v>
      </c>
      <c r="P245" s="95">
        <f t="shared" si="115"/>
        <v>0.806930693069307</v>
      </c>
      <c r="Q245" s="95">
        <f t="shared" si="115"/>
        <v>0.7975460122699386</v>
      </c>
      <c r="R245" s="95">
        <f t="shared" si="115"/>
        <v>0.6923076923076923</v>
      </c>
      <c r="S245" s="95">
        <f t="shared" si="115"/>
        <v>0.5666666666666667</v>
      </c>
      <c r="T245" s="95">
        <f t="shared" si="115"/>
        <v>0.35294117647058826</v>
      </c>
      <c r="U245" s="95" t="e">
        <f t="shared" si="115"/>
        <v>#REF!</v>
      </c>
      <c r="V245" s="95" t="e">
        <f t="shared" si="115"/>
        <v>#REF!</v>
      </c>
      <c r="W245" s="95" t="e">
        <f t="shared" si="115"/>
        <v>#REF!</v>
      </c>
      <c r="X245" s="95" t="e">
        <f t="shared" si="115"/>
        <v>#REF!</v>
      </c>
      <c r="Y245" s="95" t="e">
        <f t="shared" si="115"/>
        <v>#REF!</v>
      </c>
      <c r="Z245" s="95" t="e">
        <f t="shared" si="115"/>
        <v>#REF!</v>
      </c>
      <c r="AA245" s="95" t="e">
        <f t="shared" si="115"/>
        <v>#REF!</v>
      </c>
      <c r="AB245" s="95" t="e">
        <f t="shared" si="115"/>
        <v>#REF!</v>
      </c>
      <c r="AC245" s="95" t="e">
        <f t="shared" si="115"/>
        <v>#REF!</v>
      </c>
      <c r="AD245" s="95" t="e">
        <f t="shared" si="115"/>
        <v>#REF!</v>
      </c>
      <c r="AE245" s="95" t="e">
        <f t="shared" si="115"/>
        <v>#REF!</v>
      </c>
      <c r="AF245" s="95" t="e">
        <f t="shared" si="115"/>
        <v>#REF!</v>
      </c>
      <c r="AG245" s="95" t="e">
        <f t="shared" si="115"/>
        <v>#REF!</v>
      </c>
      <c r="AH245" s="95" t="e">
        <f t="shared" si="115"/>
        <v>#REF!</v>
      </c>
      <c r="AI245" s="95" t="e">
        <f t="shared" si="115"/>
        <v>#REF!</v>
      </c>
      <c r="AJ245" s="95" t="e">
        <f t="shared" si="115"/>
        <v>#REF!</v>
      </c>
      <c r="AK245" s="95" t="e">
        <f t="shared" si="115"/>
        <v>#REF!</v>
      </c>
      <c r="AL245" s="96" t="e">
        <f t="shared" si="115"/>
        <v>#REF!</v>
      </c>
    </row>
    <row r="246" spans="1:38" s="78" customFormat="1" ht="14.25" outlineLevel="2">
      <c r="A246" s="374"/>
      <c r="B246" s="1"/>
      <c r="C246" s="1"/>
      <c r="D246" s="12" t="s">
        <v>399</v>
      </c>
      <c r="E246" s="398" t="s">
        <v>31</v>
      </c>
      <c r="F246" s="105">
        <f t="shared" si="115"/>
        <v>1.2998148349675354</v>
      </c>
      <c r="G246" s="105">
        <f t="shared" si="115"/>
        <v>1.2149624742694527</v>
      </c>
      <c r="H246" s="106">
        <f>+IF(F27&lt;&gt;0,H27/F27,"-")</f>
        <v>1.1183105832965148</v>
      </c>
      <c r="I246" s="94">
        <f t="shared" si="115"/>
        <v>0.9451704542208768</v>
      </c>
      <c r="J246" s="95">
        <f t="shared" si="115"/>
        <v>0.8945054945054945</v>
      </c>
      <c r="K246" s="95">
        <f t="shared" si="115"/>
        <v>0.8083538083538083</v>
      </c>
      <c r="L246" s="95">
        <f t="shared" si="115"/>
        <v>0.9908814589665653</v>
      </c>
      <c r="M246" s="95">
        <f t="shared" si="115"/>
        <v>0.8742331288343558</v>
      </c>
      <c r="N246" s="95">
        <f t="shared" si="115"/>
        <v>0.856140350877193</v>
      </c>
      <c r="O246" s="95">
        <f t="shared" si="115"/>
        <v>0.8278688524590164</v>
      </c>
      <c r="P246" s="95">
        <f t="shared" si="115"/>
        <v>0.806930693069307</v>
      </c>
      <c r="Q246" s="95">
        <f t="shared" si="115"/>
        <v>0.7975460122699386</v>
      </c>
      <c r="R246" s="95">
        <f t="shared" si="115"/>
        <v>0.6923076923076923</v>
      </c>
      <c r="S246" s="95">
        <f t="shared" si="115"/>
        <v>0.5666666666666667</v>
      </c>
      <c r="T246" s="95">
        <f t="shared" si="115"/>
        <v>0.35294117647058826</v>
      </c>
      <c r="U246" s="95" t="e">
        <f t="shared" si="115"/>
        <v>#REF!</v>
      </c>
      <c r="V246" s="95" t="e">
        <f t="shared" si="115"/>
        <v>#REF!</v>
      </c>
      <c r="W246" s="95" t="e">
        <f t="shared" si="115"/>
        <v>#REF!</v>
      </c>
      <c r="X246" s="95" t="e">
        <f t="shared" si="115"/>
        <v>#REF!</v>
      </c>
      <c r="Y246" s="95" t="e">
        <f t="shared" si="115"/>
        <v>#REF!</v>
      </c>
      <c r="Z246" s="95" t="e">
        <f t="shared" si="115"/>
        <v>#REF!</v>
      </c>
      <c r="AA246" s="95" t="e">
        <f t="shared" si="115"/>
        <v>#REF!</v>
      </c>
      <c r="AB246" s="95" t="e">
        <f t="shared" si="115"/>
        <v>#REF!</v>
      </c>
      <c r="AC246" s="95" t="e">
        <f t="shared" si="115"/>
        <v>#REF!</v>
      </c>
      <c r="AD246" s="95" t="e">
        <f t="shared" si="115"/>
        <v>#REF!</v>
      </c>
      <c r="AE246" s="95" t="e">
        <f t="shared" si="115"/>
        <v>#REF!</v>
      </c>
      <c r="AF246" s="95" t="e">
        <f t="shared" si="115"/>
        <v>#REF!</v>
      </c>
      <c r="AG246" s="95" t="e">
        <f t="shared" si="115"/>
        <v>#REF!</v>
      </c>
      <c r="AH246" s="95" t="e">
        <f t="shared" si="115"/>
        <v>#REF!</v>
      </c>
      <c r="AI246" s="95" t="e">
        <f t="shared" si="115"/>
        <v>#REF!</v>
      </c>
      <c r="AJ246" s="95" t="e">
        <f t="shared" si="115"/>
        <v>#REF!</v>
      </c>
      <c r="AK246" s="95" t="e">
        <f t="shared" si="115"/>
        <v>#REF!</v>
      </c>
      <c r="AL246" s="96" t="e">
        <f t="shared" si="115"/>
        <v>#REF!</v>
      </c>
    </row>
    <row r="247" spans="1:38" s="78" customFormat="1" ht="14.25" outlineLevel="2">
      <c r="A247" s="374"/>
      <c r="B247" s="1"/>
      <c r="C247" s="1"/>
      <c r="D247" s="9" t="s">
        <v>400</v>
      </c>
      <c r="E247" s="398" t="s">
        <v>31</v>
      </c>
      <c r="F247" s="105">
        <f t="shared" si="115"/>
        <v>0.871626197724206</v>
      </c>
      <c r="G247" s="105">
        <f t="shared" si="115"/>
        <v>0.7217492231224775</v>
      </c>
      <c r="H247" s="106">
        <f>+IF(F28&lt;&gt;0,H28/F28,"-")</f>
        <v>0.5601958667524789</v>
      </c>
      <c r="I247" s="94">
        <f t="shared" si="115"/>
        <v>0.6917009813167704</v>
      </c>
      <c r="J247" s="95">
        <f t="shared" si="115"/>
        <v>0.4716835997594746</v>
      </c>
      <c r="K247" s="95">
        <f t="shared" si="115"/>
        <v>1.4494830340808438</v>
      </c>
      <c r="L247" s="95">
        <f t="shared" si="115"/>
        <v>0.3334485062735938</v>
      </c>
      <c r="M247" s="95">
        <f t="shared" si="115"/>
        <v>1.4641483904669743</v>
      </c>
      <c r="N247" s="95">
        <f t="shared" si="115"/>
        <v>1.345808987383973</v>
      </c>
      <c r="O247" s="95">
        <f t="shared" si="115"/>
        <v>1.2841966648848095</v>
      </c>
      <c r="P247" s="95">
        <f t="shared" si="115"/>
        <v>1.2308032290793116</v>
      </c>
      <c r="Q247" s="95">
        <f t="shared" si="115"/>
        <v>1.0845225794069562</v>
      </c>
      <c r="R247" s="95">
        <f t="shared" si="115"/>
        <v>1.1490759572425815</v>
      </c>
      <c r="S247" s="95">
        <f t="shared" si="115"/>
        <v>1.1519758850808133</v>
      </c>
      <c r="T247" s="95">
        <f t="shared" si="115"/>
        <v>1.1950168336238853</v>
      </c>
      <c r="U247" s="95" t="e">
        <f t="shared" si="115"/>
        <v>#REF!</v>
      </c>
      <c r="V247" s="95" t="e">
        <f t="shared" si="115"/>
        <v>#REF!</v>
      </c>
      <c r="W247" s="95" t="e">
        <f t="shared" si="115"/>
        <v>#REF!</v>
      </c>
      <c r="X247" s="95" t="e">
        <f t="shared" si="115"/>
        <v>#REF!</v>
      </c>
      <c r="Y247" s="95" t="e">
        <f t="shared" si="115"/>
        <v>#REF!</v>
      </c>
      <c r="Z247" s="95" t="e">
        <f t="shared" si="115"/>
        <v>#REF!</v>
      </c>
      <c r="AA247" s="95" t="e">
        <f t="shared" si="115"/>
        <v>#REF!</v>
      </c>
      <c r="AB247" s="95" t="e">
        <f t="shared" si="115"/>
        <v>#REF!</v>
      </c>
      <c r="AC247" s="95" t="e">
        <f t="shared" si="115"/>
        <v>#REF!</v>
      </c>
      <c r="AD247" s="95" t="e">
        <f t="shared" si="115"/>
        <v>#REF!</v>
      </c>
      <c r="AE247" s="95" t="e">
        <f t="shared" si="115"/>
        <v>#REF!</v>
      </c>
      <c r="AF247" s="95" t="e">
        <f t="shared" si="115"/>
        <v>#REF!</v>
      </c>
      <c r="AG247" s="95" t="e">
        <f t="shared" si="115"/>
        <v>#REF!</v>
      </c>
      <c r="AH247" s="95" t="e">
        <f t="shared" si="115"/>
        <v>#REF!</v>
      </c>
      <c r="AI247" s="95" t="e">
        <f t="shared" si="115"/>
        <v>#REF!</v>
      </c>
      <c r="AJ247" s="95" t="e">
        <f t="shared" si="115"/>
        <v>#REF!</v>
      </c>
      <c r="AK247" s="95" t="e">
        <f t="shared" si="115"/>
        <v>#REF!</v>
      </c>
      <c r="AL247" s="96" t="e">
        <f t="shared" si="115"/>
        <v>#REF!</v>
      </c>
    </row>
    <row r="248" spans="1:38" s="78" customFormat="1" ht="24" outlineLevel="2">
      <c r="A248" s="374"/>
      <c r="B248" s="1"/>
      <c r="C248" s="1"/>
      <c r="D248" s="14" t="s">
        <v>397</v>
      </c>
      <c r="E248" s="401" t="s">
        <v>31</v>
      </c>
      <c r="F248" s="111" t="str">
        <f>+IF(E86&lt;&gt;0,F86/E86,"-")</f>
        <v>-</v>
      </c>
      <c r="G248" s="111" t="str">
        <f>+IF(F86&lt;&gt;0,G86/F86,"-")</f>
        <v>-</v>
      </c>
      <c r="H248" s="112" t="str">
        <f>+IF(F86&lt;&gt;0,H86/F86,"-")</f>
        <v>-</v>
      </c>
      <c r="I248" s="97" t="str">
        <f>+IF(H86&lt;&gt;0,I86/H86,"-")</f>
        <v>-</v>
      </c>
      <c r="J248" s="98">
        <f aca="true" t="shared" si="116" ref="J248:AL248">+IF(I86&lt;&gt;0,J86/I86,"-")</f>
        <v>0</v>
      </c>
      <c r="K248" s="98" t="str">
        <f t="shared" si="116"/>
        <v>-</v>
      </c>
      <c r="L248" s="98" t="str">
        <f t="shared" si="116"/>
        <v>-</v>
      </c>
      <c r="M248" s="98" t="str">
        <f t="shared" si="116"/>
        <v>-</v>
      </c>
      <c r="N248" s="98" t="str">
        <f t="shared" si="116"/>
        <v>-</v>
      </c>
      <c r="O248" s="98" t="str">
        <f t="shared" si="116"/>
        <v>-</v>
      </c>
      <c r="P248" s="98" t="str">
        <f t="shared" si="116"/>
        <v>-</v>
      </c>
      <c r="Q248" s="98" t="str">
        <f t="shared" si="116"/>
        <v>-</v>
      </c>
      <c r="R248" s="98" t="str">
        <f t="shared" si="116"/>
        <v>-</v>
      </c>
      <c r="S248" s="98" t="str">
        <f t="shared" si="116"/>
        <v>-</v>
      </c>
      <c r="T248" s="98" t="str">
        <f t="shared" si="116"/>
        <v>-</v>
      </c>
      <c r="U248" s="98" t="str">
        <f t="shared" si="116"/>
        <v>-</v>
      </c>
      <c r="V248" s="98" t="e">
        <f t="shared" si="116"/>
        <v>#REF!</v>
      </c>
      <c r="W248" s="98" t="e">
        <f t="shared" si="116"/>
        <v>#REF!</v>
      </c>
      <c r="X248" s="98" t="e">
        <f t="shared" si="116"/>
        <v>#REF!</v>
      </c>
      <c r="Y248" s="98" t="e">
        <f t="shared" si="116"/>
        <v>#REF!</v>
      </c>
      <c r="Z248" s="98" t="e">
        <f t="shared" si="116"/>
        <v>#REF!</v>
      </c>
      <c r="AA248" s="98" t="e">
        <f t="shared" si="116"/>
        <v>#REF!</v>
      </c>
      <c r="AB248" s="98" t="e">
        <f t="shared" si="116"/>
        <v>#REF!</v>
      </c>
      <c r="AC248" s="98" t="e">
        <f t="shared" si="116"/>
        <v>#REF!</v>
      </c>
      <c r="AD248" s="98" t="e">
        <f t="shared" si="116"/>
        <v>#REF!</v>
      </c>
      <c r="AE248" s="98" t="e">
        <f t="shared" si="116"/>
        <v>#REF!</v>
      </c>
      <c r="AF248" s="98" t="e">
        <f t="shared" si="116"/>
        <v>#REF!</v>
      </c>
      <c r="AG248" s="98" t="e">
        <f t="shared" si="116"/>
        <v>#REF!</v>
      </c>
      <c r="AH248" s="98" t="e">
        <f t="shared" si="116"/>
        <v>#REF!</v>
      </c>
      <c r="AI248" s="98" t="e">
        <f t="shared" si="116"/>
        <v>#REF!</v>
      </c>
      <c r="AJ248" s="98" t="e">
        <f t="shared" si="116"/>
        <v>#REF!</v>
      </c>
      <c r="AK248" s="98" t="e">
        <f t="shared" si="116"/>
        <v>#REF!</v>
      </c>
      <c r="AL248" s="99" t="e">
        <f t="shared" si="116"/>
        <v>#REF!</v>
      </c>
    </row>
    <row r="249" spans="1:38" s="78" customFormat="1" ht="14.25" outlineLevel="2">
      <c r="A249" s="374"/>
      <c r="B249" s="1"/>
      <c r="C249" s="1"/>
      <c r="D249" s="35" t="s">
        <v>401</v>
      </c>
      <c r="E249" s="38"/>
      <c r="F249" s="38"/>
      <c r="G249" s="38"/>
      <c r="H249" s="38"/>
      <c r="I249" s="295"/>
      <c r="J249" s="296"/>
      <c r="K249" s="296"/>
      <c r="L249" s="296"/>
      <c r="M249" s="296"/>
      <c r="N249" s="296"/>
      <c r="O249" s="296"/>
      <c r="P249" s="296"/>
      <c r="Q249" s="296"/>
      <c r="R249" s="296"/>
      <c r="S249" s="296"/>
      <c r="T249" s="296"/>
      <c r="U249" s="296"/>
      <c r="V249" s="296"/>
      <c r="W249" s="296"/>
      <c r="X249" s="296"/>
      <c r="Y249" s="296"/>
      <c r="Z249" s="296"/>
      <c r="AA249" s="296"/>
      <c r="AB249" s="296"/>
      <c r="AC249" s="296"/>
      <c r="AD249" s="296"/>
      <c r="AE249" s="296"/>
      <c r="AF249" s="296"/>
      <c r="AG249" s="296"/>
      <c r="AH249" s="296"/>
      <c r="AI249" s="296"/>
      <c r="AJ249" s="296"/>
      <c r="AK249" s="296"/>
      <c r="AL249" s="296"/>
    </row>
    <row r="250" spans="1:38" s="78" customFormat="1" ht="14.25" outlineLevel="2">
      <c r="A250" s="374"/>
      <c r="B250" s="1"/>
      <c r="C250" s="1"/>
      <c r="D250" s="34" t="s">
        <v>2</v>
      </c>
      <c r="E250" s="402" t="s">
        <v>31</v>
      </c>
      <c r="F250" s="242">
        <f aca="true" t="shared" si="117" ref="F250:AL251">+IF(E68&lt;&gt;0,F68/E68,"-")</f>
        <v>1.0847457627118644</v>
      </c>
      <c r="G250" s="242">
        <f t="shared" si="117"/>
        <v>1.0816129875</v>
      </c>
      <c r="H250" s="243">
        <f>+IF(F68&lt;&gt;0,H68/F68,"-")</f>
        <v>0</v>
      </c>
      <c r="I250" s="100" t="str">
        <f t="shared" si="117"/>
        <v>-</v>
      </c>
      <c r="J250" s="101">
        <f t="shared" si="117"/>
        <v>1.021094638391953</v>
      </c>
      <c r="K250" s="101">
        <f t="shared" si="117"/>
        <v>1.0200992240173006</v>
      </c>
      <c r="L250" s="101">
        <f t="shared" si="117"/>
        <v>1.0199526125452052</v>
      </c>
      <c r="M250" s="101">
        <f t="shared" si="117"/>
        <v>0</v>
      </c>
      <c r="N250" s="101" t="str">
        <f t="shared" si="117"/>
        <v>-</v>
      </c>
      <c r="O250" s="101" t="str">
        <f t="shared" si="117"/>
        <v>-</v>
      </c>
      <c r="P250" s="101" t="str">
        <f t="shared" si="117"/>
        <v>-</v>
      </c>
      <c r="Q250" s="101" t="str">
        <f t="shared" si="117"/>
        <v>-</v>
      </c>
      <c r="R250" s="101" t="str">
        <f t="shared" si="117"/>
        <v>-</v>
      </c>
      <c r="S250" s="101" t="str">
        <f t="shared" si="117"/>
        <v>-</v>
      </c>
      <c r="T250" s="101" t="str">
        <f t="shared" si="117"/>
        <v>-</v>
      </c>
      <c r="U250" s="101" t="str">
        <f t="shared" si="117"/>
        <v>-</v>
      </c>
      <c r="V250" s="101" t="e">
        <f t="shared" si="117"/>
        <v>#REF!</v>
      </c>
      <c r="W250" s="101" t="e">
        <f t="shared" si="117"/>
        <v>#REF!</v>
      </c>
      <c r="X250" s="101" t="e">
        <f t="shared" si="117"/>
        <v>#REF!</v>
      </c>
      <c r="Y250" s="101" t="e">
        <f t="shared" si="117"/>
        <v>#REF!</v>
      </c>
      <c r="Z250" s="101" t="e">
        <f t="shared" si="117"/>
        <v>#REF!</v>
      </c>
      <c r="AA250" s="101" t="e">
        <f t="shared" si="117"/>
        <v>#REF!</v>
      </c>
      <c r="AB250" s="101" t="e">
        <f t="shared" si="117"/>
        <v>#REF!</v>
      </c>
      <c r="AC250" s="101" t="e">
        <f t="shared" si="117"/>
        <v>#REF!</v>
      </c>
      <c r="AD250" s="101" t="e">
        <f t="shared" si="117"/>
        <v>#REF!</v>
      </c>
      <c r="AE250" s="101" t="e">
        <f t="shared" si="117"/>
        <v>#REF!</v>
      </c>
      <c r="AF250" s="101" t="e">
        <f t="shared" si="117"/>
        <v>#REF!</v>
      </c>
      <c r="AG250" s="101" t="e">
        <f t="shared" si="117"/>
        <v>#REF!</v>
      </c>
      <c r="AH250" s="101" t="e">
        <f t="shared" si="117"/>
        <v>#REF!</v>
      </c>
      <c r="AI250" s="101" t="e">
        <f t="shared" si="117"/>
        <v>#REF!</v>
      </c>
      <c r="AJ250" s="101" t="e">
        <f t="shared" si="117"/>
        <v>#REF!</v>
      </c>
      <c r="AK250" s="101" t="e">
        <f t="shared" si="117"/>
        <v>#REF!</v>
      </c>
      <c r="AL250" s="102" t="e">
        <f t="shared" si="117"/>
        <v>#REF!</v>
      </c>
    </row>
    <row r="251" spans="1:38" s="78" customFormat="1" ht="14.25" outlineLevel="2">
      <c r="A251" s="374"/>
      <c r="B251" s="1"/>
      <c r="C251" s="1"/>
      <c r="D251" s="9" t="s">
        <v>3</v>
      </c>
      <c r="E251" s="398" t="s">
        <v>31</v>
      </c>
      <c r="F251" s="105" t="str">
        <f t="shared" si="117"/>
        <v>-</v>
      </c>
      <c r="G251" s="105" t="str">
        <f t="shared" si="117"/>
        <v>-</v>
      </c>
      <c r="H251" s="106" t="str">
        <f>+IF(F69&lt;&gt;0,H69/F69,"-")</f>
        <v>-</v>
      </c>
      <c r="I251" s="94">
        <f t="shared" si="117"/>
        <v>1.081161178203329</v>
      </c>
      <c r="J251" s="95">
        <f t="shared" si="117"/>
        <v>1.0194445259113705</v>
      </c>
      <c r="K251" s="95">
        <f t="shared" si="117"/>
        <v>1.0155350978135789</v>
      </c>
      <c r="L251" s="95">
        <f t="shared" si="117"/>
        <v>1.0158640226628894</v>
      </c>
      <c r="M251" s="95">
        <f t="shared" si="117"/>
        <v>0</v>
      </c>
      <c r="N251" s="95" t="str">
        <f t="shared" si="117"/>
        <v>-</v>
      </c>
      <c r="O251" s="95" t="str">
        <f t="shared" si="117"/>
        <v>-</v>
      </c>
      <c r="P251" s="95" t="str">
        <f t="shared" si="117"/>
        <v>-</v>
      </c>
      <c r="Q251" s="95" t="str">
        <f t="shared" si="117"/>
        <v>-</v>
      </c>
      <c r="R251" s="95" t="str">
        <f t="shared" si="117"/>
        <v>-</v>
      </c>
      <c r="S251" s="95" t="str">
        <f t="shared" si="117"/>
        <v>-</v>
      </c>
      <c r="T251" s="95" t="str">
        <f t="shared" si="117"/>
        <v>-</v>
      </c>
      <c r="U251" s="95" t="str">
        <f t="shared" si="117"/>
        <v>-</v>
      </c>
      <c r="V251" s="95" t="e">
        <f t="shared" si="117"/>
        <v>#REF!</v>
      </c>
      <c r="W251" s="95" t="e">
        <f t="shared" si="117"/>
        <v>#REF!</v>
      </c>
      <c r="X251" s="95" t="e">
        <f t="shared" si="117"/>
        <v>#REF!</v>
      </c>
      <c r="Y251" s="95" t="e">
        <f t="shared" si="117"/>
        <v>#REF!</v>
      </c>
      <c r="Z251" s="95" t="e">
        <f t="shared" si="117"/>
        <v>#REF!</v>
      </c>
      <c r="AA251" s="95" t="e">
        <f t="shared" si="117"/>
        <v>#REF!</v>
      </c>
      <c r="AB251" s="95" t="e">
        <f t="shared" si="117"/>
        <v>#REF!</v>
      </c>
      <c r="AC251" s="95" t="e">
        <f t="shared" si="117"/>
        <v>#REF!</v>
      </c>
      <c r="AD251" s="95" t="e">
        <f t="shared" si="117"/>
        <v>#REF!</v>
      </c>
      <c r="AE251" s="95" t="e">
        <f t="shared" si="117"/>
        <v>#REF!</v>
      </c>
      <c r="AF251" s="95" t="e">
        <f t="shared" si="117"/>
        <v>#REF!</v>
      </c>
      <c r="AG251" s="95" t="e">
        <f t="shared" si="117"/>
        <v>#REF!</v>
      </c>
      <c r="AH251" s="95" t="e">
        <f t="shared" si="117"/>
        <v>#REF!</v>
      </c>
      <c r="AI251" s="95" t="e">
        <f t="shared" si="117"/>
        <v>#REF!</v>
      </c>
      <c r="AJ251" s="95" t="e">
        <f t="shared" si="117"/>
        <v>#REF!</v>
      </c>
      <c r="AK251" s="95" t="e">
        <f t="shared" si="117"/>
        <v>#REF!</v>
      </c>
      <c r="AL251" s="96" t="e">
        <f t="shared" si="117"/>
        <v>#REF!</v>
      </c>
    </row>
    <row r="252" spans="1:38" s="78" customFormat="1" ht="14.25" outlineLevel="2">
      <c r="A252" s="374"/>
      <c r="B252" s="1"/>
      <c r="C252" s="1"/>
      <c r="D252" s="9" t="s">
        <v>402</v>
      </c>
      <c r="E252" s="398" t="s">
        <v>31</v>
      </c>
      <c r="F252" s="105">
        <f aca="true" t="shared" si="118" ref="F252:AL253">+IF(E71&lt;&gt;0,F71/E71,"-")</f>
        <v>3.8210003438682048</v>
      </c>
      <c r="G252" s="105">
        <f t="shared" si="118"/>
        <v>3.5802182083315404</v>
      </c>
      <c r="H252" s="106">
        <f>+IF(F71&lt;&gt;0,H71/F71,"-")</f>
        <v>0</v>
      </c>
      <c r="I252" s="94" t="str">
        <f t="shared" si="118"/>
        <v>-</v>
      </c>
      <c r="J252" s="95">
        <f t="shared" si="118"/>
        <v>0.3540793914004771</v>
      </c>
      <c r="K252" s="95">
        <f t="shared" si="118"/>
        <v>0</v>
      </c>
      <c r="L252" s="95" t="str">
        <f t="shared" si="118"/>
        <v>-</v>
      </c>
      <c r="M252" s="95" t="str">
        <f t="shared" si="118"/>
        <v>-</v>
      </c>
      <c r="N252" s="95" t="str">
        <f t="shared" si="118"/>
        <v>-</v>
      </c>
      <c r="O252" s="95" t="str">
        <f t="shared" si="118"/>
        <v>-</v>
      </c>
      <c r="P252" s="95" t="str">
        <f t="shared" si="118"/>
        <v>-</v>
      </c>
      <c r="Q252" s="95" t="str">
        <f t="shared" si="118"/>
        <v>-</v>
      </c>
      <c r="R252" s="95" t="str">
        <f t="shared" si="118"/>
        <v>-</v>
      </c>
      <c r="S252" s="95" t="str">
        <f t="shared" si="118"/>
        <v>-</v>
      </c>
      <c r="T252" s="95" t="str">
        <f t="shared" si="118"/>
        <v>-</v>
      </c>
      <c r="U252" s="95" t="str">
        <f t="shared" si="118"/>
        <v>-</v>
      </c>
      <c r="V252" s="95" t="e">
        <f t="shared" si="118"/>
        <v>#REF!</v>
      </c>
      <c r="W252" s="95" t="e">
        <f t="shared" si="118"/>
        <v>#REF!</v>
      </c>
      <c r="X252" s="95" t="e">
        <f t="shared" si="118"/>
        <v>#REF!</v>
      </c>
      <c r="Y252" s="95" t="e">
        <f t="shared" si="118"/>
        <v>#REF!</v>
      </c>
      <c r="Z252" s="95" t="e">
        <f t="shared" si="118"/>
        <v>#REF!</v>
      </c>
      <c r="AA252" s="95" t="e">
        <f t="shared" si="118"/>
        <v>#REF!</v>
      </c>
      <c r="AB252" s="95" t="e">
        <f t="shared" si="118"/>
        <v>#REF!</v>
      </c>
      <c r="AC252" s="95" t="e">
        <f t="shared" si="118"/>
        <v>#REF!</v>
      </c>
      <c r="AD252" s="95" t="e">
        <f t="shared" si="118"/>
        <v>#REF!</v>
      </c>
      <c r="AE252" s="95" t="e">
        <f t="shared" si="118"/>
        <v>#REF!</v>
      </c>
      <c r="AF252" s="95" t="e">
        <f t="shared" si="118"/>
        <v>#REF!</v>
      </c>
      <c r="AG252" s="95" t="e">
        <f t="shared" si="118"/>
        <v>#REF!</v>
      </c>
      <c r="AH252" s="95" t="e">
        <f t="shared" si="118"/>
        <v>#REF!</v>
      </c>
      <c r="AI252" s="95" t="e">
        <f t="shared" si="118"/>
        <v>#REF!</v>
      </c>
      <c r="AJ252" s="95" t="e">
        <f t="shared" si="118"/>
        <v>#REF!</v>
      </c>
      <c r="AK252" s="95" t="e">
        <f t="shared" si="118"/>
        <v>#REF!</v>
      </c>
      <c r="AL252" s="96" t="e">
        <f t="shared" si="118"/>
        <v>#REF!</v>
      </c>
    </row>
    <row r="253" spans="1:38" s="78" customFormat="1" ht="14.25" outlineLevel="2">
      <c r="A253" s="374"/>
      <c r="B253" s="1"/>
      <c r="C253" s="1"/>
      <c r="D253" s="13" t="s">
        <v>403</v>
      </c>
      <c r="E253" s="401" t="s">
        <v>31</v>
      </c>
      <c r="F253" s="111">
        <f t="shared" si="118"/>
        <v>0.16417366331917352</v>
      </c>
      <c r="G253" s="111">
        <f t="shared" si="118"/>
        <v>2.3024859627882925</v>
      </c>
      <c r="H253" s="112">
        <f>+IF(F72&lt;&gt;0,H72/F72,"-")</f>
        <v>1.476135869090747</v>
      </c>
      <c r="I253" s="97">
        <f t="shared" si="118"/>
        <v>0</v>
      </c>
      <c r="J253" s="98" t="str">
        <f t="shared" si="118"/>
        <v>-</v>
      </c>
      <c r="K253" s="98">
        <f t="shared" si="118"/>
        <v>1.4494830340808438</v>
      </c>
      <c r="L253" s="98">
        <f t="shared" si="118"/>
        <v>0</v>
      </c>
      <c r="M253" s="98" t="str">
        <f t="shared" si="118"/>
        <v>-</v>
      </c>
      <c r="N253" s="98" t="str">
        <f t="shared" si="118"/>
        <v>-</v>
      </c>
      <c r="O253" s="98" t="str">
        <f t="shared" si="118"/>
        <v>-</v>
      </c>
      <c r="P253" s="98" t="str">
        <f t="shared" si="118"/>
        <v>-</v>
      </c>
      <c r="Q253" s="98" t="str">
        <f t="shared" si="118"/>
        <v>-</v>
      </c>
      <c r="R253" s="98" t="str">
        <f t="shared" si="118"/>
        <v>-</v>
      </c>
      <c r="S253" s="98" t="str">
        <f t="shared" si="118"/>
        <v>-</v>
      </c>
      <c r="T253" s="98" t="str">
        <f t="shared" si="118"/>
        <v>-</v>
      </c>
      <c r="U253" s="98" t="str">
        <f t="shared" si="118"/>
        <v>-</v>
      </c>
      <c r="V253" s="98" t="e">
        <f t="shared" si="118"/>
        <v>#REF!</v>
      </c>
      <c r="W253" s="98" t="e">
        <f t="shared" si="118"/>
        <v>#REF!</v>
      </c>
      <c r="X253" s="98" t="e">
        <f t="shared" si="118"/>
        <v>#REF!</v>
      </c>
      <c r="Y253" s="98" t="e">
        <f t="shared" si="118"/>
        <v>#REF!</v>
      </c>
      <c r="Z253" s="98" t="e">
        <f t="shared" si="118"/>
        <v>#REF!</v>
      </c>
      <c r="AA253" s="98" t="e">
        <f t="shared" si="118"/>
        <v>#REF!</v>
      </c>
      <c r="AB253" s="98" t="e">
        <f t="shared" si="118"/>
        <v>#REF!</v>
      </c>
      <c r="AC253" s="98" t="e">
        <f t="shared" si="118"/>
        <v>#REF!</v>
      </c>
      <c r="AD253" s="98" t="e">
        <f t="shared" si="118"/>
        <v>#REF!</v>
      </c>
      <c r="AE253" s="98" t="e">
        <f t="shared" si="118"/>
        <v>#REF!</v>
      </c>
      <c r="AF253" s="98" t="e">
        <f t="shared" si="118"/>
        <v>#REF!</v>
      </c>
      <c r="AG253" s="98" t="e">
        <f t="shared" si="118"/>
        <v>#REF!</v>
      </c>
      <c r="AH253" s="98" t="e">
        <f t="shared" si="118"/>
        <v>#REF!</v>
      </c>
      <c r="AI253" s="98" t="e">
        <f t="shared" si="118"/>
        <v>#REF!</v>
      </c>
      <c r="AJ253" s="98" t="e">
        <f t="shared" si="118"/>
        <v>#REF!</v>
      </c>
      <c r="AK253" s="98" t="e">
        <f t="shared" si="118"/>
        <v>#REF!</v>
      </c>
      <c r="AL253" s="99" t="e">
        <f t="shared" si="118"/>
        <v>#REF!</v>
      </c>
    </row>
  </sheetData>
  <sheetProtection formatCells="0" formatColumns="0" formatRows="0" insertColumns="0" insertRows="0" deleteColumns="0" deleteRows="0"/>
  <autoFilter ref="A9:A104"/>
  <mergeCells count="3">
    <mergeCell ref="F1:P1"/>
    <mergeCell ref="F2:P2"/>
    <mergeCell ref="F3:P3"/>
  </mergeCells>
  <conditionalFormatting sqref="I63:AL64">
    <cfRule type="containsText" priority="35" dxfId="37" operator="containsText" stopIfTrue="1" text="NIE">
      <formula>NOT(ISERROR(SEARCH("NIE",I63)))</formula>
    </cfRule>
  </conditionalFormatting>
  <conditionalFormatting sqref="I233:AL248">
    <cfRule type="cellIs" priority="11" dxfId="13" operator="equal" stopIfTrue="1">
      <formula>"-"</formula>
    </cfRule>
    <cfRule type="cellIs" priority="19" dxfId="12" operator="between" stopIfTrue="1">
      <formula>0.00000001</formula>
      <formula>1</formula>
    </cfRule>
    <cfRule type="cellIs" priority="20" dxfId="11" operator="greaterThan" stopIfTrue="1">
      <formula>1</formula>
    </cfRule>
  </conditionalFormatting>
  <conditionalFormatting sqref="I250:AL253">
    <cfRule type="cellIs" priority="10" dxfId="13" operator="equal" stopIfTrue="1">
      <formula>"-"</formula>
    </cfRule>
    <cfRule type="cellIs" priority="21" dxfId="12" operator="between" stopIfTrue="1">
      <formula>0.00000001</formula>
      <formula>1</formula>
    </cfRule>
    <cfRule type="cellIs" priority="22" dxfId="11" operator="greaterThan" stopIfTrue="1">
      <formula>1</formula>
    </cfRule>
  </conditionalFormatting>
  <conditionalFormatting sqref="I193:AL204">
    <cfRule type="cellIs" priority="12" dxfId="33" operator="notBetween" stopIfTrue="1">
      <formula>-$D$192</formula>
      <formula>$D$192</formula>
    </cfRule>
    <cfRule type="cellIs" priority="23" dxfId="9" operator="notBetween" stopIfTrue="1">
      <formula>-$D$191</formula>
      <formula>$D$191</formula>
    </cfRule>
    <cfRule type="cellIs" priority="24" dxfId="8" operator="notBetween" stopIfTrue="1">
      <formula>-$D$190</formula>
      <formula>$D$190</formula>
    </cfRule>
  </conditionalFormatting>
  <conditionalFormatting sqref="I125:AL126">
    <cfRule type="cellIs" priority="8" dxfId="34" operator="between" stopIfTrue="1">
      <formula>-1000000000000</formula>
      <formula>1000000000000</formula>
    </cfRule>
  </conditionalFormatting>
  <conditionalFormatting sqref="I121:AL122">
    <cfRule type="cellIs" priority="7" dxfId="35" operator="between" stopIfTrue="1">
      <formula>-1000000000000</formula>
      <formula>1000000000000</formula>
    </cfRule>
  </conditionalFormatting>
  <conditionalFormatting sqref="I127:AL171">
    <cfRule type="cellIs" priority="6" dxfId="5" operator="equal" stopIfTrue="1">
      <formula>"BŁĄD"</formula>
    </cfRule>
  </conditionalFormatting>
  <conditionalFormatting sqref="I185:AL188">
    <cfRule type="cellIs" priority="16" dxfId="36" operator="lessThan" stopIfTrue="1">
      <formula>$D$182</formula>
    </cfRule>
    <cfRule type="cellIs" priority="17" dxfId="3" operator="lessThan" stopIfTrue="1">
      <formula>$D$183</formula>
    </cfRule>
    <cfRule type="cellIs" priority="18" dxfId="2" operator="lessThan" stopIfTrue="1">
      <formula>$D$184</formula>
    </cfRule>
  </conditionalFormatting>
  <conditionalFormatting sqref="I123:AL123">
    <cfRule type="cellIs" priority="2" dxfId="34" operator="between" stopIfTrue="1">
      <formula>0</formula>
      <formula>1000000000000</formula>
    </cfRule>
  </conditionalFormatting>
  <conditionalFormatting sqref="I124:AL124">
    <cfRule type="cellIs" priority="1" dxfId="34" operator="between" stopIfTrue="1">
      <formula>-1000000000000</formula>
      <formula>1000000000000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2013-03-15c (symulacja)&amp;C&amp;8Strona &amp;P z &amp;N&amp;R&amp;8Wydruk z dn.: &amp;D - &amp;T</oddFooter>
  </headerFooter>
  <rowBreaks count="2" manualBreakCount="2">
    <brk id="49" min="1" max="37" man="1"/>
    <brk id="88" min="1" max="37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zoomScalePageLayoutView="0" workbookViewId="0" topLeftCell="A1">
      <selection activeCell="D9" sqref="D9"/>
    </sheetView>
  </sheetViews>
  <sheetFormatPr defaultColWidth="8.796875" defaultRowHeight="14.25"/>
  <cols>
    <col min="1" max="1" width="4.5" style="36" customWidth="1"/>
    <col min="2" max="2" width="6.09765625" style="36" customWidth="1"/>
    <col min="3" max="3" width="46.3984375" style="37" customWidth="1"/>
    <col min="4" max="4" width="21" style="37" customWidth="1"/>
    <col min="5" max="5" width="19.8984375" style="37" customWidth="1"/>
    <col min="6" max="13" width="16.69921875" style="37" bestFit="1" customWidth="1"/>
    <col min="14" max="16384" width="9" style="37" customWidth="1"/>
  </cols>
  <sheetData>
    <row r="9" spans="2:34" ht="11.25">
      <c r="B9" s="36" t="s">
        <v>0</v>
      </c>
      <c r="C9" s="37" t="s">
        <v>1</v>
      </c>
      <c r="D9" s="37">
        <v>2013</v>
      </c>
      <c r="E9" s="37">
        <v>2013</v>
      </c>
      <c r="F9" s="37">
        <f>+E9+1</f>
        <v>2014</v>
      </c>
      <c r="G9" s="37">
        <f aca="true" t="shared" si="0" ref="G9:AF9">+F9+1</f>
        <v>2015</v>
      </c>
      <c r="H9" s="37">
        <f t="shared" si="0"/>
        <v>2016</v>
      </c>
      <c r="I9" s="37">
        <f t="shared" si="0"/>
        <v>2017</v>
      </c>
      <c r="J9" s="37">
        <f t="shared" si="0"/>
        <v>2018</v>
      </c>
      <c r="K9" s="37">
        <f t="shared" si="0"/>
        <v>2019</v>
      </c>
      <c r="L9" s="37">
        <f t="shared" si="0"/>
        <v>2020</v>
      </c>
      <c r="M9" s="37">
        <f t="shared" si="0"/>
        <v>2021</v>
      </c>
      <c r="N9" s="37">
        <f t="shared" si="0"/>
        <v>2022</v>
      </c>
      <c r="O9" s="37">
        <f t="shared" si="0"/>
        <v>2023</v>
      </c>
      <c r="P9" s="37">
        <f t="shared" si="0"/>
        <v>2024</v>
      </c>
      <c r="Q9" s="37">
        <f t="shared" si="0"/>
        <v>2025</v>
      </c>
      <c r="R9" s="37">
        <f t="shared" si="0"/>
        <v>2026</v>
      </c>
      <c r="S9" s="37">
        <f t="shared" si="0"/>
        <v>2027</v>
      </c>
      <c r="T9" s="37">
        <f t="shared" si="0"/>
        <v>2028</v>
      </c>
      <c r="U9" s="37">
        <f t="shared" si="0"/>
        <v>2029</v>
      </c>
      <c r="V9" s="37">
        <f t="shared" si="0"/>
        <v>2030</v>
      </c>
      <c r="W9" s="37">
        <f t="shared" si="0"/>
        <v>2031</v>
      </c>
      <c r="X9" s="37">
        <f t="shared" si="0"/>
        <v>2032</v>
      </c>
      <c r="Y9" s="37">
        <f t="shared" si="0"/>
        <v>2033</v>
      </c>
      <c r="Z9" s="37">
        <f t="shared" si="0"/>
        <v>2034</v>
      </c>
      <c r="AA9" s="37">
        <f t="shared" si="0"/>
        <v>2035</v>
      </c>
      <c r="AB9" s="37">
        <f t="shared" si="0"/>
        <v>2036</v>
      </c>
      <c r="AC9" s="37">
        <f t="shared" si="0"/>
        <v>2037</v>
      </c>
      <c r="AD9" s="37">
        <f t="shared" si="0"/>
        <v>2038</v>
      </c>
      <c r="AE9" s="37">
        <f t="shared" si="0"/>
        <v>2039</v>
      </c>
      <c r="AF9" s="37">
        <f t="shared" si="0"/>
        <v>2040</v>
      </c>
      <c r="AG9" s="37">
        <f>+AF9+1</f>
        <v>2041</v>
      </c>
      <c r="AH9" s="37">
        <f>+AG9+1</f>
        <v>2042</v>
      </c>
    </row>
    <row r="10" spans="1:34" ht="11.25">
      <c r="A10" s="36">
        <v>10</v>
      </c>
      <c r="B10" s="36">
        <v>1</v>
      </c>
      <c r="C10" s="37" t="s">
        <v>26</v>
      </c>
      <c r="D10" s="37" t="str">
        <f>+"rokprognozy="&amp;D$9&amp;" i lp="&amp;$A10</f>
        <v>rokprognozy=2013 i lp=10</v>
      </c>
      <c r="E10" s="37" t="str">
        <f>+"rokprognozy="&amp;E$9&amp;" i lp="&amp;$A10</f>
        <v>rokprognozy=2013 i lp=10</v>
      </c>
      <c r="F10" s="37" t="str">
        <f aca="true" t="shared" si="1" ref="F10:AG22">+"rokprognozy="&amp;F$9&amp;" i lp="&amp;$A10</f>
        <v>rokprognozy=2014 i lp=10</v>
      </c>
      <c r="G10" s="37" t="str">
        <f t="shared" si="1"/>
        <v>rokprognozy=2015 i lp=10</v>
      </c>
      <c r="H10" s="37" t="str">
        <f t="shared" si="1"/>
        <v>rokprognozy=2016 i lp=10</v>
      </c>
      <c r="I10" s="37" t="str">
        <f t="shared" si="1"/>
        <v>rokprognozy=2017 i lp=10</v>
      </c>
      <c r="J10" s="37" t="str">
        <f t="shared" si="1"/>
        <v>rokprognozy=2018 i lp=10</v>
      </c>
      <c r="K10" s="37" t="str">
        <f t="shared" si="1"/>
        <v>rokprognozy=2019 i lp=10</v>
      </c>
      <c r="L10" s="37" t="str">
        <f t="shared" si="1"/>
        <v>rokprognozy=2020 i lp=10</v>
      </c>
      <c r="M10" s="37" t="str">
        <f t="shared" si="1"/>
        <v>rokprognozy=2021 i lp=10</v>
      </c>
      <c r="N10" s="37" t="str">
        <f t="shared" si="1"/>
        <v>rokprognozy=2022 i lp=10</v>
      </c>
      <c r="O10" s="37" t="str">
        <f t="shared" si="1"/>
        <v>rokprognozy=2023 i lp=10</v>
      </c>
      <c r="P10" s="37" t="str">
        <f t="shared" si="1"/>
        <v>rokprognozy=2024 i lp=10</v>
      </c>
      <c r="Q10" s="37" t="str">
        <f t="shared" si="1"/>
        <v>rokprognozy=2025 i lp=10</v>
      </c>
      <c r="R10" s="37" t="str">
        <f t="shared" si="1"/>
        <v>rokprognozy=2026 i lp=10</v>
      </c>
      <c r="S10" s="37" t="str">
        <f t="shared" si="1"/>
        <v>rokprognozy=2027 i lp=10</v>
      </c>
      <c r="T10" s="37" t="str">
        <f t="shared" si="1"/>
        <v>rokprognozy=2028 i lp=10</v>
      </c>
      <c r="U10" s="37" t="str">
        <f t="shared" si="1"/>
        <v>rokprognozy=2029 i lp=10</v>
      </c>
      <c r="V10" s="37" t="str">
        <f t="shared" si="1"/>
        <v>rokprognozy=2030 i lp=10</v>
      </c>
      <c r="W10" s="37" t="str">
        <f t="shared" si="1"/>
        <v>rokprognozy=2031 i lp=10</v>
      </c>
      <c r="X10" s="37" t="str">
        <f t="shared" si="1"/>
        <v>rokprognozy=2032 i lp=10</v>
      </c>
      <c r="Y10" s="37" t="str">
        <f t="shared" si="1"/>
        <v>rokprognozy=2033 i lp=10</v>
      </c>
      <c r="Z10" s="37" t="str">
        <f t="shared" si="1"/>
        <v>rokprognozy=2034 i lp=10</v>
      </c>
      <c r="AA10" s="37" t="str">
        <f t="shared" si="1"/>
        <v>rokprognozy=2035 i lp=10</v>
      </c>
      <c r="AB10" s="37" t="str">
        <f t="shared" si="1"/>
        <v>rokprognozy=2036 i lp=10</v>
      </c>
      <c r="AC10" s="37" t="str">
        <f t="shared" si="1"/>
        <v>rokprognozy=2037 i lp=10</v>
      </c>
      <c r="AD10" s="37" t="str">
        <f t="shared" si="1"/>
        <v>rokprognozy=2038 i lp=10</v>
      </c>
      <c r="AE10" s="37" t="str">
        <f t="shared" si="1"/>
        <v>rokprognozy=2039 i lp=10</v>
      </c>
      <c r="AF10" s="37" t="str">
        <f t="shared" si="1"/>
        <v>rokprognozy=2040 i lp=10</v>
      </c>
      <c r="AG10" s="37" t="str">
        <f t="shared" si="1"/>
        <v>rokprognozy=2041 i lp=10</v>
      </c>
      <c r="AH10" s="37" t="str">
        <f aca="true" t="shared" si="2" ref="AH10:AH21">+"rokprognozy="&amp;AH$9&amp;" i lp="&amp;$A10</f>
        <v>rokprognozy=2042 i lp=10</v>
      </c>
    </row>
    <row r="11" spans="1:34" ht="11.25">
      <c r="A11" s="36">
        <v>20</v>
      </c>
      <c r="B11" s="36">
        <v>1.1</v>
      </c>
      <c r="C11" s="37" t="s">
        <v>43</v>
      </c>
      <c r="D11" s="37" t="str">
        <f aca="true" t="shared" si="3" ref="D11:D75">+"rokprognozy="&amp;D$9&amp;" i lp="&amp;$A11</f>
        <v>rokprognozy=2013 i lp=20</v>
      </c>
      <c r="E11" s="37" t="str">
        <f aca="true" t="shared" si="4" ref="E11:M36">+"rokprognozy="&amp;E$9&amp;" i lp="&amp;$A11</f>
        <v>rokprognozy=2013 i lp=20</v>
      </c>
      <c r="F11" s="37" t="str">
        <f t="shared" si="4"/>
        <v>rokprognozy=2014 i lp=20</v>
      </c>
      <c r="G11" s="37" t="str">
        <f t="shared" si="4"/>
        <v>rokprognozy=2015 i lp=20</v>
      </c>
      <c r="H11" s="37" t="str">
        <f t="shared" si="4"/>
        <v>rokprognozy=2016 i lp=20</v>
      </c>
      <c r="I11" s="37" t="str">
        <f t="shared" si="4"/>
        <v>rokprognozy=2017 i lp=20</v>
      </c>
      <c r="J11" s="37" t="str">
        <f t="shared" si="4"/>
        <v>rokprognozy=2018 i lp=20</v>
      </c>
      <c r="K11" s="37" t="str">
        <f t="shared" si="4"/>
        <v>rokprognozy=2019 i lp=20</v>
      </c>
      <c r="L11" s="37" t="str">
        <f t="shared" si="4"/>
        <v>rokprognozy=2020 i lp=20</v>
      </c>
      <c r="M11" s="37" t="str">
        <f t="shared" si="4"/>
        <v>rokprognozy=2021 i lp=20</v>
      </c>
      <c r="N11" s="37" t="str">
        <f t="shared" si="1"/>
        <v>rokprognozy=2022 i lp=20</v>
      </c>
      <c r="O11" s="37" t="str">
        <f t="shared" si="1"/>
        <v>rokprognozy=2023 i lp=20</v>
      </c>
      <c r="P11" s="37" t="str">
        <f t="shared" si="1"/>
        <v>rokprognozy=2024 i lp=20</v>
      </c>
      <c r="Q11" s="37" t="str">
        <f t="shared" si="1"/>
        <v>rokprognozy=2025 i lp=20</v>
      </c>
      <c r="R11" s="37" t="str">
        <f t="shared" si="1"/>
        <v>rokprognozy=2026 i lp=20</v>
      </c>
      <c r="S11" s="37" t="str">
        <f t="shared" si="1"/>
        <v>rokprognozy=2027 i lp=20</v>
      </c>
      <c r="T11" s="37" t="str">
        <f t="shared" si="1"/>
        <v>rokprognozy=2028 i lp=20</v>
      </c>
      <c r="U11" s="37" t="str">
        <f t="shared" si="1"/>
        <v>rokprognozy=2029 i lp=20</v>
      </c>
      <c r="V11" s="37" t="str">
        <f t="shared" si="1"/>
        <v>rokprognozy=2030 i lp=20</v>
      </c>
      <c r="W11" s="37" t="str">
        <f t="shared" si="1"/>
        <v>rokprognozy=2031 i lp=20</v>
      </c>
      <c r="X11" s="37" t="str">
        <f t="shared" si="1"/>
        <v>rokprognozy=2032 i lp=20</v>
      </c>
      <c r="Y11" s="37" t="str">
        <f t="shared" si="1"/>
        <v>rokprognozy=2033 i lp=20</v>
      </c>
      <c r="Z11" s="37" t="str">
        <f t="shared" si="1"/>
        <v>rokprognozy=2034 i lp=20</v>
      </c>
      <c r="AA11" s="37" t="str">
        <f t="shared" si="1"/>
        <v>rokprognozy=2035 i lp=20</v>
      </c>
      <c r="AB11" s="37" t="str">
        <f t="shared" si="1"/>
        <v>rokprognozy=2036 i lp=20</v>
      </c>
      <c r="AC11" s="37" t="str">
        <f t="shared" si="1"/>
        <v>rokprognozy=2037 i lp=20</v>
      </c>
      <c r="AD11" s="37" t="str">
        <f t="shared" si="1"/>
        <v>rokprognozy=2038 i lp=20</v>
      </c>
      <c r="AE11" s="37" t="str">
        <f t="shared" si="1"/>
        <v>rokprognozy=2039 i lp=20</v>
      </c>
      <c r="AF11" s="37" t="str">
        <f t="shared" si="1"/>
        <v>rokprognozy=2040 i lp=20</v>
      </c>
      <c r="AG11" s="37" t="str">
        <f t="shared" si="1"/>
        <v>rokprognozy=2041 i lp=20</v>
      </c>
      <c r="AH11" s="37" t="str">
        <f t="shared" si="2"/>
        <v>rokprognozy=2042 i lp=20</v>
      </c>
    </row>
    <row r="12" spans="1:34" ht="11.25">
      <c r="A12" s="36">
        <v>30</v>
      </c>
      <c r="B12" s="36" t="s">
        <v>44</v>
      </c>
      <c r="C12" s="37" t="s">
        <v>45</v>
      </c>
      <c r="D12" s="37" t="str">
        <f t="shared" si="3"/>
        <v>rokprognozy=2013 i lp=30</v>
      </c>
      <c r="E12" s="37" t="str">
        <f t="shared" si="4"/>
        <v>rokprognozy=2013 i lp=30</v>
      </c>
      <c r="F12" s="37" t="str">
        <f t="shared" si="4"/>
        <v>rokprognozy=2014 i lp=30</v>
      </c>
      <c r="G12" s="37" t="str">
        <f t="shared" si="4"/>
        <v>rokprognozy=2015 i lp=30</v>
      </c>
      <c r="H12" s="37" t="str">
        <f t="shared" si="4"/>
        <v>rokprognozy=2016 i lp=30</v>
      </c>
      <c r="I12" s="37" t="str">
        <f t="shared" si="4"/>
        <v>rokprognozy=2017 i lp=30</v>
      </c>
      <c r="J12" s="37" t="str">
        <f t="shared" si="4"/>
        <v>rokprognozy=2018 i lp=30</v>
      </c>
      <c r="K12" s="37" t="str">
        <f t="shared" si="4"/>
        <v>rokprognozy=2019 i lp=30</v>
      </c>
      <c r="L12" s="37" t="str">
        <f t="shared" si="4"/>
        <v>rokprognozy=2020 i lp=30</v>
      </c>
      <c r="M12" s="37" t="str">
        <f t="shared" si="4"/>
        <v>rokprognozy=2021 i lp=30</v>
      </c>
      <c r="N12" s="37" t="str">
        <f t="shared" si="1"/>
        <v>rokprognozy=2022 i lp=30</v>
      </c>
      <c r="O12" s="37" t="str">
        <f t="shared" si="1"/>
        <v>rokprognozy=2023 i lp=30</v>
      </c>
      <c r="P12" s="37" t="str">
        <f t="shared" si="1"/>
        <v>rokprognozy=2024 i lp=30</v>
      </c>
      <c r="Q12" s="37" t="str">
        <f t="shared" si="1"/>
        <v>rokprognozy=2025 i lp=30</v>
      </c>
      <c r="R12" s="37" t="str">
        <f t="shared" si="1"/>
        <v>rokprognozy=2026 i lp=30</v>
      </c>
      <c r="S12" s="37" t="str">
        <f t="shared" si="1"/>
        <v>rokprognozy=2027 i lp=30</v>
      </c>
      <c r="T12" s="37" t="str">
        <f t="shared" si="1"/>
        <v>rokprognozy=2028 i lp=30</v>
      </c>
      <c r="U12" s="37" t="str">
        <f t="shared" si="1"/>
        <v>rokprognozy=2029 i lp=30</v>
      </c>
      <c r="V12" s="37" t="str">
        <f t="shared" si="1"/>
        <v>rokprognozy=2030 i lp=30</v>
      </c>
      <c r="W12" s="37" t="str">
        <f t="shared" si="1"/>
        <v>rokprognozy=2031 i lp=30</v>
      </c>
      <c r="X12" s="37" t="str">
        <f t="shared" si="1"/>
        <v>rokprognozy=2032 i lp=30</v>
      </c>
      <c r="Y12" s="37" t="str">
        <f t="shared" si="1"/>
        <v>rokprognozy=2033 i lp=30</v>
      </c>
      <c r="Z12" s="37" t="str">
        <f t="shared" si="1"/>
        <v>rokprognozy=2034 i lp=30</v>
      </c>
      <c r="AA12" s="37" t="str">
        <f t="shared" si="1"/>
        <v>rokprognozy=2035 i lp=30</v>
      </c>
      <c r="AB12" s="37" t="str">
        <f t="shared" si="1"/>
        <v>rokprognozy=2036 i lp=30</v>
      </c>
      <c r="AC12" s="37" t="str">
        <f t="shared" si="1"/>
        <v>rokprognozy=2037 i lp=30</v>
      </c>
      <c r="AD12" s="37" t="str">
        <f t="shared" si="1"/>
        <v>rokprognozy=2038 i lp=30</v>
      </c>
      <c r="AE12" s="37" t="str">
        <f t="shared" si="1"/>
        <v>rokprognozy=2039 i lp=30</v>
      </c>
      <c r="AF12" s="37" t="str">
        <f t="shared" si="1"/>
        <v>rokprognozy=2040 i lp=30</v>
      </c>
      <c r="AG12" s="37" t="str">
        <f t="shared" si="1"/>
        <v>rokprognozy=2041 i lp=30</v>
      </c>
      <c r="AH12" s="37" t="str">
        <f t="shared" si="2"/>
        <v>rokprognozy=2042 i lp=30</v>
      </c>
    </row>
    <row r="13" spans="1:34" ht="11.25">
      <c r="A13" s="36">
        <v>40</v>
      </c>
      <c r="B13" s="36" t="s">
        <v>46</v>
      </c>
      <c r="C13" s="37" t="s">
        <v>47</v>
      </c>
      <c r="D13" s="37" t="str">
        <f t="shared" si="3"/>
        <v>rokprognozy=2013 i lp=40</v>
      </c>
      <c r="E13" s="37" t="str">
        <f t="shared" si="4"/>
        <v>rokprognozy=2013 i lp=40</v>
      </c>
      <c r="F13" s="37" t="str">
        <f t="shared" si="4"/>
        <v>rokprognozy=2014 i lp=40</v>
      </c>
      <c r="G13" s="37" t="str">
        <f t="shared" si="4"/>
        <v>rokprognozy=2015 i lp=40</v>
      </c>
      <c r="H13" s="37" t="str">
        <f t="shared" si="4"/>
        <v>rokprognozy=2016 i lp=40</v>
      </c>
      <c r="I13" s="37" t="str">
        <f t="shared" si="4"/>
        <v>rokprognozy=2017 i lp=40</v>
      </c>
      <c r="J13" s="37" t="str">
        <f t="shared" si="4"/>
        <v>rokprognozy=2018 i lp=40</v>
      </c>
      <c r="K13" s="37" t="str">
        <f t="shared" si="4"/>
        <v>rokprognozy=2019 i lp=40</v>
      </c>
      <c r="L13" s="37" t="str">
        <f t="shared" si="4"/>
        <v>rokprognozy=2020 i lp=40</v>
      </c>
      <c r="M13" s="37" t="str">
        <f t="shared" si="4"/>
        <v>rokprognozy=2021 i lp=40</v>
      </c>
      <c r="N13" s="37" t="str">
        <f t="shared" si="1"/>
        <v>rokprognozy=2022 i lp=40</v>
      </c>
      <c r="O13" s="37" t="str">
        <f t="shared" si="1"/>
        <v>rokprognozy=2023 i lp=40</v>
      </c>
      <c r="P13" s="37" t="str">
        <f t="shared" si="1"/>
        <v>rokprognozy=2024 i lp=40</v>
      </c>
      <c r="Q13" s="37" t="str">
        <f t="shared" si="1"/>
        <v>rokprognozy=2025 i lp=40</v>
      </c>
      <c r="R13" s="37" t="str">
        <f t="shared" si="1"/>
        <v>rokprognozy=2026 i lp=40</v>
      </c>
      <c r="S13" s="37" t="str">
        <f t="shared" si="1"/>
        <v>rokprognozy=2027 i lp=40</v>
      </c>
      <c r="T13" s="37" t="str">
        <f t="shared" si="1"/>
        <v>rokprognozy=2028 i lp=40</v>
      </c>
      <c r="U13" s="37" t="str">
        <f t="shared" si="1"/>
        <v>rokprognozy=2029 i lp=40</v>
      </c>
      <c r="V13" s="37" t="str">
        <f t="shared" si="1"/>
        <v>rokprognozy=2030 i lp=40</v>
      </c>
      <c r="W13" s="37" t="str">
        <f t="shared" si="1"/>
        <v>rokprognozy=2031 i lp=40</v>
      </c>
      <c r="X13" s="37" t="str">
        <f t="shared" si="1"/>
        <v>rokprognozy=2032 i lp=40</v>
      </c>
      <c r="Y13" s="37" t="str">
        <f t="shared" si="1"/>
        <v>rokprognozy=2033 i lp=40</v>
      </c>
      <c r="Z13" s="37" t="str">
        <f t="shared" si="1"/>
        <v>rokprognozy=2034 i lp=40</v>
      </c>
      <c r="AA13" s="37" t="str">
        <f t="shared" si="1"/>
        <v>rokprognozy=2035 i lp=40</v>
      </c>
      <c r="AB13" s="37" t="str">
        <f t="shared" si="1"/>
        <v>rokprognozy=2036 i lp=40</v>
      </c>
      <c r="AC13" s="37" t="str">
        <f t="shared" si="1"/>
        <v>rokprognozy=2037 i lp=40</v>
      </c>
      <c r="AD13" s="37" t="str">
        <f t="shared" si="1"/>
        <v>rokprognozy=2038 i lp=40</v>
      </c>
      <c r="AE13" s="37" t="str">
        <f t="shared" si="1"/>
        <v>rokprognozy=2039 i lp=40</v>
      </c>
      <c r="AF13" s="37" t="str">
        <f t="shared" si="1"/>
        <v>rokprognozy=2040 i lp=40</v>
      </c>
      <c r="AG13" s="37" t="str">
        <f t="shared" si="1"/>
        <v>rokprognozy=2041 i lp=40</v>
      </c>
      <c r="AH13" s="37" t="str">
        <f t="shared" si="2"/>
        <v>rokprognozy=2042 i lp=40</v>
      </c>
    </row>
    <row r="14" spans="1:34" ht="11.25">
      <c r="A14" s="36">
        <v>50</v>
      </c>
      <c r="B14" s="36" t="s">
        <v>48</v>
      </c>
      <c r="C14" s="37" t="s">
        <v>49</v>
      </c>
      <c r="D14" s="37" t="str">
        <f t="shared" si="3"/>
        <v>rokprognozy=2013 i lp=50</v>
      </c>
      <c r="E14" s="37" t="str">
        <f t="shared" si="4"/>
        <v>rokprognozy=2013 i lp=50</v>
      </c>
      <c r="F14" s="37" t="str">
        <f t="shared" si="4"/>
        <v>rokprognozy=2014 i lp=50</v>
      </c>
      <c r="G14" s="37" t="str">
        <f t="shared" si="4"/>
        <v>rokprognozy=2015 i lp=50</v>
      </c>
      <c r="H14" s="37" t="str">
        <f t="shared" si="4"/>
        <v>rokprognozy=2016 i lp=50</v>
      </c>
      <c r="I14" s="37" t="str">
        <f t="shared" si="4"/>
        <v>rokprognozy=2017 i lp=50</v>
      </c>
      <c r="J14" s="37" t="str">
        <f t="shared" si="4"/>
        <v>rokprognozy=2018 i lp=50</v>
      </c>
      <c r="K14" s="37" t="str">
        <f t="shared" si="4"/>
        <v>rokprognozy=2019 i lp=50</v>
      </c>
      <c r="L14" s="37" t="str">
        <f t="shared" si="4"/>
        <v>rokprognozy=2020 i lp=50</v>
      </c>
      <c r="M14" s="37" t="str">
        <f t="shared" si="4"/>
        <v>rokprognozy=2021 i lp=50</v>
      </c>
      <c r="N14" s="37" t="str">
        <f t="shared" si="1"/>
        <v>rokprognozy=2022 i lp=50</v>
      </c>
      <c r="O14" s="37" t="str">
        <f t="shared" si="1"/>
        <v>rokprognozy=2023 i lp=50</v>
      </c>
      <c r="P14" s="37" t="str">
        <f t="shared" si="1"/>
        <v>rokprognozy=2024 i lp=50</v>
      </c>
      <c r="Q14" s="37" t="str">
        <f t="shared" si="1"/>
        <v>rokprognozy=2025 i lp=50</v>
      </c>
      <c r="R14" s="37" t="str">
        <f t="shared" si="1"/>
        <v>rokprognozy=2026 i lp=50</v>
      </c>
      <c r="S14" s="37" t="str">
        <f t="shared" si="1"/>
        <v>rokprognozy=2027 i lp=50</v>
      </c>
      <c r="T14" s="37" t="str">
        <f t="shared" si="1"/>
        <v>rokprognozy=2028 i lp=50</v>
      </c>
      <c r="U14" s="37" t="str">
        <f t="shared" si="1"/>
        <v>rokprognozy=2029 i lp=50</v>
      </c>
      <c r="V14" s="37" t="str">
        <f t="shared" si="1"/>
        <v>rokprognozy=2030 i lp=50</v>
      </c>
      <c r="W14" s="37" t="str">
        <f t="shared" si="1"/>
        <v>rokprognozy=2031 i lp=50</v>
      </c>
      <c r="X14" s="37" t="str">
        <f t="shared" si="1"/>
        <v>rokprognozy=2032 i lp=50</v>
      </c>
      <c r="Y14" s="37" t="str">
        <f t="shared" si="1"/>
        <v>rokprognozy=2033 i lp=50</v>
      </c>
      <c r="Z14" s="37" t="str">
        <f t="shared" si="1"/>
        <v>rokprognozy=2034 i lp=50</v>
      </c>
      <c r="AA14" s="37" t="str">
        <f t="shared" si="1"/>
        <v>rokprognozy=2035 i lp=50</v>
      </c>
      <c r="AB14" s="37" t="str">
        <f t="shared" si="1"/>
        <v>rokprognozy=2036 i lp=50</v>
      </c>
      <c r="AC14" s="37" t="str">
        <f t="shared" si="1"/>
        <v>rokprognozy=2037 i lp=50</v>
      </c>
      <c r="AD14" s="37" t="str">
        <f t="shared" si="1"/>
        <v>rokprognozy=2038 i lp=50</v>
      </c>
      <c r="AE14" s="37" t="str">
        <f t="shared" si="1"/>
        <v>rokprognozy=2039 i lp=50</v>
      </c>
      <c r="AF14" s="37" t="str">
        <f t="shared" si="1"/>
        <v>rokprognozy=2040 i lp=50</v>
      </c>
      <c r="AG14" s="37" t="str">
        <f t="shared" si="1"/>
        <v>rokprognozy=2041 i lp=50</v>
      </c>
      <c r="AH14" s="37" t="str">
        <f t="shared" si="2"/>
        <v>rokprognozy=2042 i lp=50</v>
      </c>
    </row>
    <row r="15" spans="1:34" ht="11.25">
      <c r="A15" s="36">
        <v>60</v>
      </c>
      <c r="B15" s="36" t="s">
        <v>50</v>
      </c>
      <c r="C15" s="37" t="s">
        <v>51</v>
      </c>
      <c r="D15" s="37" t="str">
        <f t="shared" si="3"/>
        <v>rokprognozy=2013 i lp=60</v>
      </c>
      <c r="E15" s="37" t="str">
        <f t="shared" si="4"/>
        <v>rokprognozy=2013 i lp=60</v>
      </c>
      <c r="F15" s="37" t="str">
        <f t="shared" si="4"/>
        <v>rokprognozy=2014 i lp=60</v>
      </c>
      <c r="G15" s="37" t="str">
        <f t="shared" si="4"/>
        <v>rokprognozy=2015 i lp=60</v>
      </c>
      <c r="H15" s="37" t="str">
        <f t="shared" si="4"/>
        <v>rokprognozy=2016 i lp=60</v>
      </c>
      <c r="I15" s="37" t="str">
        <f t="shared" si="4"/>
        <v>rokprognozy=2017 i lp=60</v>
      </c>
      <c r="J15" s="37" t="str">
        <f t="shared" si="4"/>
        <v>rokprognozy=2018 i lp=60</v>
      </c>
      <c r="K15" s="37" t="str">
        <f t="shared" si="4"/>
        <v>rokprognozy=2019 i lp=60</v>
      </c>
      <c r="L15" s="37" t="str">
        <f t="shared" si="4"/>
        <v>rokprognozy=2020 i lp=60</v>
      </c>
      <c r="M15" s="37" t="str">
        <f t="shared" si="4"/>
        <v>rokprognozy=2021 i lp=60</v>
      </c>
      <c r="N15" s="37" t="str">
        <f t="shared" si="1"/>
        <v>rokprognozy=2022 i lp=60</v>
      </c>
      <c r="O15" s="37" t="str">
        <f t="shared" si="1"/>
        <v>rokprognozy=2023 i lp=60</v>
      </c>
      <c r="P15" s="37" t="str">
        <f t="shared" si="1"/>
        <v>rokprognozy=2024 i lp=60</v>
      </c>
      <c r="Q15" s="37" t="str">
        <f t="shared" si="1"/>
        <v>rokprognozy=2025 i lp=60</v>
      </c>
      <c r="R15" s="37" t="str">
        <f t="shared" si="1"/>
        <v>rokprognozy=2026 i lp=60</v>
      </c>
      <c r="S15" s="37" t="str">
        <f t="shared" si="1"/>
        <v>rokprognozy=2027 i lp=60</v>
      </c>
      <c r="T15" s="37" t="str">
        <f t="shared" si="1"/>
        <v>rokprognozy=2028 i lp=60</v>
      </c>
      <c r="U15" s="37" t="str">
        <f t="shared" si="1"/>
        <v>rokprognozy=2029 i lp=60</v>
      </c>
      <c r="V15" s="37" t="str">
        <f t="shared" si="1"/>
        <v>rokprognozy=2030 i lp=60</v>
      </c>
      <c r="W15" s="37" t="str">
        <f t="shared" si="1"/>
        <v>rokprognozy=2031 i lp=60</v>
      </c>
      <c r="X15" s="37" t="str">
        <f t="shared" si="1"/>
        <v>rokprognozy=2032 i lp=60</v>
      </c>
      <c r="Y15" s="37" t="str">
        <f t="shared" si="1"/>
        <v>rokprognozy=2033 i lp=60</v>
      </c>
      <c r="Z15" s="37" t="str">
        <f t="shared" si="1"/>
        <v>rokprognozy=2034 i lp=60</v>
      </c>
      <c r="AA15" s="37" t="str">
        <f t="shared" si="1"/>
        <v>rokprognozy=2035 i lp=60</v>
      </c>
      <c r="AB15" s="37" t="str">
        <f t="shared" si="1"/>
        <v>rokprognozy=2036 i lp=60</v>
      </c>
      <c r="AC15" s="37" t="str">
        <f t="shared" si="1"/>
        <v>rokprognozy=2037 i lp=60</v>
      </c>
      <c r="AD15" s="37" t="str">
        <f t="shared" si="1"/>
        <v>rokprognozy=2038 i lp=60</v>
      </c>
      <c r="AE15" s="37" t="str">
        <f t="shared" si="1"/>
        <v>rokprognozy=2039 i lp=60</v>
      </c>
      <c r="AF15" s="37" t="str">
        <f t="shared" si="1"/>
        <v>rokprognozy=2040 i lp=60</v>
      </c>
      <c r="AG15" s="37" t="str">
        <f t="shared" si="1"/>
        <v>rokprognozy=2041 i lp=60</v>
      </c>
      <c r="AH15" s="37" t="str">
        <f t="shared" si="2"/>
        <v>rokprognozy=2042 i lp=60</v>
      </c>
    </row>
    <row r="16" spans="1:34" ht="11.25">
      <c r="A16" s="36">
        <v>70</v>
      </c>
      <c r="B16" s="36" t="s">
        <v>52</v>
      </c>
      <c r="C16" s="37" t="s">
        <v>53</v>
      </c>
      <c r="D16" s="37" t="str">
        <f t="shared" si="3"/>
        <v>rokprognozy=2013 i lp=70</v>
      </c>
      <c r="E16" s="37" t="str">
        <f t="shared" si="4"/>
        <v>rokprognozy=2013 i lp=70</v>
      </c>
      <c r="F16" s="37" t="str">
        <f t="shared" si="4"/>
        <v>rokprognozy=2014 i lp=70</v>
      </c>
      <c r="G16" s="37" t="str">
        <f t="shared" si="4"/>
        <v>rokprognozy=2015 i lp=70</v>
      </c>
      <c r="H16" s="37" t="str">
        <f t="shared" si="4"/>
        <v>rokprognozy=2016 i lp=70</v>
      </c>
      <c r="I16" s="37" t="str">
        <f t="shared" si="4"/>
        <v>rokprognozy=2017 i lp=70</v>
      </c>
      <c r="J16" s="37" t="str">
        <f t="shared" si="4"/>
        <v>rokprognozy=2018 i lp=70</v>
      </c>
      <c r="K16" s="37" t="str">
        <f t="shared" si="4"/>
        <v>rokprognozy=2019 i lp=70</v>
      </c>
      <c r="L16" s="37" t="str">
        <f t="shared" si="4"/>
        <v>rokprognozy=2020 i lp=70</v>
      </c>
      <c r="M16" s="37" t="str">
        <f t="shared" si="4"/>
        <v>rokprognozy=2021 i lp=70</v>
      </c>
      <c r="N16" s="37" t="str">
        <f t="shared" si="1"/>
        <v>rokprognozy=2022 i lp=70</v>
      </c>
      <c r="O16" s="37" t="str">
        <f t="shared" si="1"/>
        <v>rokprognozy=2023 i lp=70</v>
      </c>
      <c r="P16" s="37" t="str">
        <f t="shared" si="1"/>
        <v>rokprognozy=2024 i lp=70</v>
      </c>
      <c r="Q16" s="37" t="str">
        <f t="shared" si="1"/>
        <v>rokprognozy=2025 i lp=70</v>
      </c>
      <c r="R16" s="37" t="str">
        <f t="shared" si="1"/>
        <v>rokprognozy=2026 i lp=70</v>
      </c>
      <c r="S16" s="37" t="str">
        <f t="shared" si="1"/>
        <v>rokprognozy=2027 i lp=70</v>
      </c>
      <c r="T16" s="37" t="str">
        <f t="shared" si="1"/>
        <v>rokprognozy=2028 i lp=70</v>
      </c>
      <c r="U16" s="37" t="str">
        <f t="shared" si="1"/>
        <v>rokprognozy=2029 i lp=70</v>
      </c>
      <c r="V16" s="37" t="str">
        <f t="shared" si="1"/>
        <v>rokprognozy=2030 i lp=70</v>
      </c>
      <c r="W16" s="37" t="str">
        <f t="shared" si="1"/>
        <v>rokprognozy=2031 i lp=70</v>
      </c>
      <c r="X16" s="37" t="str">
        <f t="shared" si="1"/>
        <v>rokprognozy=2032 i lp=70</v>
      </c>
      <c r="Y16" s="37" t="str">
        <f t="shared" si="1"/>
        <v>rokprognozy=2033 i lp=70</v>
      </c>
      <c r="Z16" s="37" t="str">
        <f t="shared" si="1"/>
        <v>rokprognozy=2034 i lp=70</v>
      </c>
      <c r="AA16" s="37" t="str">
        <f t="shared" si="1"/>
        <v>rokprognozy=2035 i lp=70</v>
      </c>
      <c r="AB16" s="37" t="str">
        <f t="shared" si="1"/>
        <v>rokprognozy=2036 i lp=70</v>
      </c>
      <c r="AC16" s="37" t="str">
        <f t="shared" si="1"/>
        <v>rokprognozy=2037 i lp=70</v>
      </c>
      <c r="AD16" s="37" t="str">
        <f t="shared" si="1"/>
        <v>rokprognozy=2038 i lp=70</v>
      </c>
      <c r="AE16" s="37" t="str">
        <f t="shared" si="1"/>
        <v>rokprognozy=2039 i lp=70</v>
      </c>
      <c r="AF16" s="37" t="str">
        <f t="shared" si="1"/>
        <v>rokprognozy=2040 i lp=70</v>
      </c>
      <c r="AG16" s="37" t="str">
        <f t="shared" si="1"/>
        <v>rokprognozy=2041 i lp=70</v>
      </c>
      <c r="AH16" s="37" t="str">
        <f t="shared" si="2"/>
        <v>rokprognozy=2042 i lp=70</v>
      </c>
    </row>
    <row r="17" spans="1:34" ht="11.25">
      <c r="A17" s="36">
        <v>80</v>
      </c>
      <c r="B17" s="36" t="s">
        <v>54</v>
      </c>
      <c r="C17" s="37" t="s">
        <v>55</v>
      </c>
      <c r="D17" s="37" t="str">
        <f t="shared" si="3"/>
        <v>rokprognozy=2013 i lp=80</v>
      </c>
      <c r="E17" s="37" t="str">
        <f t="shared" si="4"/>
        <v>rokprognozy=2013 i lp=80</v>
      </c>
      <c r="F17" s="37" t="str">
        <f t="shared" si="4"/>
        <v>rokprognozy=2014 i lp=80</v>
      </c>
      <c r="G17" s="37" t="str">
        <f t="shared" si="4"/>
        <v>rokprognozy=2015 i lp=80</v>
      </c>
      <c r="H17" s="37" t="str">
        <f t="shared" si="4"/>
        <v>rokprognozy=2016 i lp=80</v>
      </c>
      <c r="I17" s="37" t="str">
        <f t="shared" si="4"/>
        <v>rokprognozy=2017 i lp=80</v>
      </c>
      <c r="J17" s="37" t="str">
        <f t="shared" si="4"/>
        <v>rokprognozy=2018 i lp=80</v>
      </c>
      <c r="K17" s="37" t="str">
        <f t="shared" si="4"/>
        <v>rokprognozy=2019 i lp=80</v>
      </c>
      <c r="L17" s="37" t="str">
        <f t="shared" si="4"/>
        <v>rokprognozy=2020 i lp=80</v>
      </c>
      <c r="M17" s="37" t="str">
        <f t="shared" si="4"/>
        <v>rokprognozy=2021 i lp=80</v>
      </c>
      <c r="N17" s="37" t="str">
        <f t="shared" si="1"/>
        <v>rokprognozy=2022 i lp=80</v>
      </c>
      <c r="O17" s="37" t="str">
        <f t="shared" si="1"/>
        <v>rokprognozy=2023 i lp=80</v>
      </c>
      <c r="P17" s="37" t="str">
        <f t="shared" si="1"/>
        <v>rokprognozy=2024 i lp=80</v>
      </c>
      <c r="Q17" s="37" t="str">
        <f t="shared" si="1"/>
        <v>rokprognozy=2025 i lp=80</v>
      </c>
      <c r="R17" s="37" t="str">
        <f t="shared" si="1"/>
        <v>rokprognozy=2026 i lp=80</v>
      </c>
      <c r="S17" s="37" t="str">
        <f t="shared" si="1"/>
        <v>rokprognozy=2027 i lp=80</v>
      </c>
      <c r="T17" s="37" t="str">
        <f t="shared" si="1"/>
        <v>rokprognozy=2028 i lp=80</v>
      </c>
      <c r="U17" s="37" t="str">
        <f t="shared" si="1"/>
        <v>rokprognozy=2029 i lp=80</v>
      </c>
      <c r="V17" s="37" t="str">
        <f t="shared" si="1"/>
        <v>rokprognozy=2030 i lp=80</v>
      </c>
      <c r="W17" s="37" t="str">
        <f t="shared" si="1"/>
        <v>rokprognozy=2031 i lp=80</v>
      </c>
      <c r="X17" s="37" t="str">
        <f t="shared" si="1"/>
        <v>rokprognozy=2032 i lp=80</v>
      </c>
      <c r="Y17" s="37" t="str">
        <f t="shared" si="1"/>
        <v>rokprognozy=2033 i lp=80</v>
      </c>
      <c r="Z17" s="37" t="str">
        <f t="shared" si="1"/>
        <v>rokprognozy=2034 i lp=80</v>
      </c>
      <c r="AA17" s="37" t="str">
        <f t="shared" si="1"/>
        <v>rokprognozy=2035 i lp=80</v>
      </c>
      <c r="AB17" s="37" t="str">
        <f t="shared" si="1"/>
        <v>rokprognozy=2036 i lp=80</v>
      </c>
      <c r="AC17" s="37" t="str">
        <f t="shared" si="1"/>
        <v>rokprognozy=2037 i lp=80</v>
      </c>
      <c r="AD17" s="37" t="str">
        <f t="shared" si="1"/>
        <v>rokprognozy=2038 i lp=80</v>
      </c>
      <c r="AE17" s="37" t="str">
        <f t="shared" si="1"/>
        <v>rokprognozy=2039 i lp=80</v>
      </c>
      <c r="AF17" s="37" t="str">
        <f t="shared" si="1"/>
        <v>rokprognozy=2040 i lp=80</v>
      </c>
      <c r="AG17" s="37" t="str">
        <f t="shared" si="1"/>
        <v>rokprognozy=2041 i lp=80</v>
      </c>
      <c r="AH17" s="37" t="str">
        <f t="shared" si="2"/>
        <v>rokprognozy=2042 i lp=80</v>
      </c>
    </row>
    <row r="18" spans="1:34" ht="11.25">
      <c r="A18" s="36">
        <v>90</v>
      </c>
      <c r="B18" s="36">
        <v>1.2</v>
      </c>
      <c r="C18" s="37" t="s">
        <v>56</v>
      </c>
      <c r="D18" s="37" t="str">
        <f t="shared" si="3"/>
        <v>rokprognozy=2013 i lp=90</v>
      </c>
      <c r="E18" s="37" t="str">
        <f t="shared" si="4"/>
        <v>rokprognozy=2013 i lp=90</v>
      </c>
      <c r="F18" s="37" t="str">
        <f t="shared" si="4"/>
        <v>rokprognozy=2014 i lp=90</v>
      </c>
      <c r="G18" s="37" t="str">
        <f t="shared" si="4"/>
        <v>rokprognozy=2015 i lp=90</v>
      </c>
      <c r="H18" s="37" t="str">
        <f t="shared" si="4"/>
        <v>rokprognozy=2016 i lp=90</v>
      </c>
      <c r="I18" s="37" t="str">
        <f t="shared" si="4"/>
        <v>rokprognozy=2017 i lp=90</v>
      </c>
      <c r="J18" s="37" t="str">
        <f t="shared" si="4"/>
        <v>rokprognozy=2018 i lp=90</v>
      </c>
      <c r="K18" s="37" t="str">
        <f t="shared" si="4"/>
        <v>rokprognozy=2019 i lp=90</v>
      </c>
      <c r="L18" s="37" t="str">
        <f t="shared" si="4"/>
        <v>rokprognozy=2020 i lp=90</v>
      </c>
      <c r="M18" s="37" t="str">
        <f t="shared" si="4"/>
        <v>rokprognozy=2021 i lp=90</v>
      </c>
      <c r="N18" s="37" t="str">
        <f t="shared" si="1"/>
        <v>rokprognozy=2022 i lp=90</v>
      </c>
      <c r="O18" s="37" t="str">
        <f t="shared" si="1"/>
        <v>rokprognozy=2023 i lp=90</v>
      </c>
      <c r="P18" s="37" t="str">
        <f t="shared" si="1"/>
        <v>rokprognozy=2024 i lp=90</v>
      </c>
      <c r="Q18" s="37" t="str">
        <f t="shared" si="1"/>
        <v>rokprognozy=2025 i lp=90</v>
      </c>
      <c r="R18" s="37" t="str">
        <f t="shared" si="1"/>
        <v>rokprognozy=2026 i lp=90</v>
      </c>
      <c r="S18" s="37" t="str">
        <f t="shared" si="1"/>
        <v>rokprognozy=2027 i lp=90</v>
      </c>
      <c r="T18" s="37" t="str">
        <f t="shared" si="1"/>
        <v>rokprognozy=2028 i lp=90</v>
      </c>
      <c r="U18" s="37" t="str">
        <f t="shared" si="1"/>
        <v>rokprognozy=2029 i lp=90</v>
      </c>
      <c r="V18" s="37" t="str">
        <f t="shared" si="1"/>
        <v>rokprognozy=2030 i lp=90</v>
      </c>
      <c r="W18" s="37" t="str">
        <f t="shared" si="1"/>
        <v>rokprognozy=2031 i lp=90</v>
      </c>
      <c r="X18" s="37" t="str">
        <f t="shared" si="1"/>
        <v>rokprognozy=2032 i lp=90</v>
      </c>
      <c r="Y18" s="37" t="str">
        <f t="shared" si="1"/>
        <v>rokprognozy=2033 i lp=90</v>
      </c>
      <c r="Z18" s="37" t="str">
        <f t="shared" si="1"/>
        <v>rokprognozy=2034 i lp=90</v>
      </c>
      <c r="AA18" s="37" t="str">
        <f t="shared" si="1"/>
        <v>rokprognozy=2035 i lp=90</v>
      </c>
      <c r="AB18" s="37" t="str">
        <f t="shared" si="1"/>
        <v>rokprognozy=2036 i lp=90</v>
      </c>
      <c r="AC18" s="37" t="str">
        <f t="shared" si="1"/>
        <v>rokprognozy=2037 i lp=90</v>
      </c>
      <c r="AD18" s="37" t="str">
        <f t="shared" si="1"/>
        <v>rokprognozy=2038 i lp=90</v>
      </c>
      <c r="AE18" s="37" t="str">
        <f t="shared" si="1"/>
        <v>rokprognozy=2039 i lp=90</v>
      </c>
      <c r="AF18" s="37" t="str">
        <f t="shared" si="1"/>
        <v>rokprognozy=2040 i lp=90</v>
      </c>
      <c r="AG18" s="37" t="str">
        <f t="shared" si="1"/>
        <v>rokprognozy=2041 i lp=90</v>
      </c>
      <c r="AH18" s="37" t="str">
        <f t="shared" si="2"/>
        <v>rokprognozy=2042 i lp=90</v>
      </c>
    </row>
    <row r="19" spans="1:34" ht="11.25">
      <c r="A19" s="36">
        <v>100</v>
      </c>
      <c r="B19" s="36" t="s">
        <v>57</v>
      </c>
      <c r="C19" s="37" t="s">
        <v>58</v>
      </c>
      <c r="D19" s="37" t="str">
        <f t="shared" si="3"/>
        <v>rokprognozy=2013 i lp=100</v>
      </c>
      <c r="E19" s="37" t="str">
        <f t="shared" si="4"/>
        <v>rokprognozy=2013 i lp=100</v>
      </c>
      <c r="F19" s="37" t="str">
        <f t="shared" si="4"/>
        <v>rokprognozy=2014 i lp=100</v>
      </c>
      <c r="G19" s="37" t="str">
        <f t="shared" si="4"/>
        <v>rokprognozy=2015 i lp=100</v>
      </c>
      <c r="H19" s="37" t="str">
        <f t="shared" si="4"/>
        <v>rokprognozy=2016 i lp=100</v>
      </c>
      <c r="I19" s="37" t="str">
        <f t="shared" si="4"/>
        <v>rokprognozy=2017 i lp=100</v>
      </c>
      <c r="J19" s="37" t="str">
        <f t="shared" si="4"/>
        <v>rokprognozy=2018 i lp=100</v>
      </c>
      <c r="K19" s="37" t="str">
        <f t="shared" si="4"/>
        <v>rokprognozy=2019 i lp=100</v>
      </c>
      <c r="L19" s="37" t="str">
        <f t="shared" si="4"/>
        <v>rokprognozy=2020 i lp=100</v>
      </c>
      <c r="M19" s="37" t="str">
        <f t="shared" si="4"/>
        <v>rokprognozy=2021 i lp=100</v>
      </c>
      <c r="N19" s="37" t="str">
        <f t="shared" si="1"/>
        <v>rokprognozy=2022 i lp=100</v>
      </c>
      <c r="O19" s="37" t="str">
        <f t="shared" si="1"/>
        <v>rokprognozy=2023 i lp=100</v>
      </c>
      <c r="P19" s="37" t="str">
        <f t="shared" si="1"/>
        <v>rokprognozy=2024 i lp=100</v>
      </c>
      <c r="Q19" s="37" t="str">
        <f t="shared" si="1"/>
        <v>rokprognozy=2025 i lp=100</v>
      </c>
      <c r="R19" s="37" t="str">
        <f t="shared" si="1"/>
        <v>rokprognozy=2026 i lp=100</v>
      </c>
      <c r="S19" s="37" t="str">
        <f t="shared" si="1"/>
        <v>rokprognozy=2027 i lp=100</v>
      </c>
      <c r="T19" s="37" t="str">
        <f t="shared" si="1"/>
        <v>rokprognozy=2028 i lp=100</v>
      </c>
      <c r="U19" s="37" t="str">
        <f t="shared" si="1"/>
        <v>rokprognozy=2029 i lp=100</v>
      </c>
      <c r="V19" s="37" t="str">
        <f t="shared" si="1"/>
        <v>rokprognozy=2030 i lp=100</v>
      </c>
      <c r="W19" s="37" t="str">
        <f t="shared" si="1"/>
        <v>rokprognozy=2031 i lp=100</v>
      </c>
      <c r="X19" s="37" t="str">
        <f t="shared" si="1"/>
        <v>rokprognozy=2032 i lp=100</v>
      </c>
      <c r="Y19" s="37" t="str">
        <f t="shared" si="1"/>
        <v>rokprognozy=2033 i lp=100</v>
      </c>
      <c r="Z19" s="37" t="str">
        <f t="shared" si="1"/>
        <v>rokprognozy=2034 i lp=100</v>
      </c>
      <c r="AA19" s="37" t="str">
        <f t="shared" si="1"/>
        <v>rokprognozy=2035 i lp=100</v>
      </c>
      <c r="AB19" s="37" t="str">
        <f t="shared" si="1"/>
        <v>rokprognozy=2036 i lp=100</v>
      </c>
      <c r="AC19" s="37" t="str">
        <f t="shared" si="1"/>
        <v>rokprognozy=2037 i lp=100</v>
      </c>
      <c r="AD19" s="37" t="str">
        <f t="shared" si="1"/>
        <v>rokprognozy=2038 i lp=100</v>
      </c>
      <c r="AE19" s="37" t="str">
        <f t="shared" si="1"/>
        <v>rokprognozy=2039 i lp=100</v>
      </c>
      <c r="AF19" s="37" t="str">
        <f t="shared" si="1"/>
        <v>rokprognozy=2040 i lp=100</v>
      </c>
      <c r="AG19" s="37" t="str">
        <f t="shared" si="1"/>
        <v>rokprognozy=2041 i lp=100</v>
      </c>
      <c r="AH19" s="37" t="str">
        <f t="shared" si="2"/>
        <v>rokprognozy=2042 i lp=100</v>
      </c>
    </row>
    <row r="20" spans="1:34" ht="11.25">
      <c r="A20" s="36">
        <v>110</v>
      </c>
      <c r="B20" s="36" t="s">
        <v>59</v>
      </c>
      <c r="C20" s="37" t="s">
        <v>60</v>
      </c>
      <c r="D20" s="37" t="str">
        <f t="shared" si="3"/>
        <v>rokprognozy=2013 i lp=110</v>
      </c>
      <c r="E20" s="37" t="str">
        <f t="shared" si="4"/>
        <v>rokprognozy=2013 i lp=110</v>
      </c>
      <c r="F20" s="37" t="str">
        <f t="shared" si="4"/>
        <v>rokprognozy=2014 i lp=110</v>
      </c>
      <c r="G20" s="37" t="str">
        <f t="shared" si="4"/>
        <v>rokprognozy=2015 i lp=110</v>
      </c>
      <c r="H20" s="37" t="str">
        <f t="shared" si="4"/>
        <v>rokprognozy=2016 i lp=110</v>
      </c>
      <c r="I20" s="37" t="str">
        <f t="shared" si="4"/>
        <v>rokprognozy=2017 i lp=110</v>
      </c>
      <c r="J20" s="37" t="str">
        <f t="shared" si="4"/>
        <v>rokprognozy=2018 i lp=110</v>
      </c>
      <c r="K20" s="37" t="str">
        <f t="shared" si="4"/>
        <v>rokprognozy=2019 i lp=110</v>
      </c>
      <c r="L20" s="37" t="str">
        <f t="shared" si="4"/>
        <v>rokprognozy=2020 i lp=110</v>
      </c>
      <c r="M20" s="37" t="str">
        <f t="shared" si="4"/>
        <v>rokprognozy=2021 i lp=110</v>
      </c>
      <c r="N20" s="37" t="str">
        <f t="shared" si="1"/>
        <v>rokprognozy=2022 i lp=110</v>
      </c>
      <c r="O20" s="37" t="str">
        <f t="shared" si="1"/>
        <v>rokprognozy=2023 i lp=110</v>
      </c>
      <c r="P20" s="37" t="str">
        <f t="shared" si="1"/>
        <v>rokprognozy=2024 i lp=110</v>
      </c>
      <c r="Q20" s="37" t="str">
        <f t="shared" si="1"/>
        <v>rokprognozy=2025 i lp=110</v>
      </c>
      <c r="R20" s="37" t="str">
        <f t="shared" si="1"/>
        <v>rokprognozy=2026 i lp=110</v>
      </c>
      <c r="S20" s="37" t="str">
        <f t="shared" si="1"/>
        <v>rokprognozy=2027 i lp=110</v>
      </c>
      <c r="T20" s="37" t="str">
        <f t="shared" si="1"/>
        <v>rokprognozy=2028 i lp=110</v>
      </c>
      <c r="U20" s="37" t="str">
        <f t="shared" si="1"/>
        <v>rokprognozy=2029 i lp=110</v>
      </c>
      <c r="V20" s="37" t="str">
        <f t="shared" si="1"/>
        <v>rokprognozy=2030 i lp=110</v>
      </c>
      <c r="W20" s="37" t="str">
        <f t="shared" si="1"/>
        <v>rokprognozy=2031 i lp=110</v>
      </c>
      <c r="X20" s="37" t="str">
        <f t="shared" si="1"/>
        <v>rokprognozy=2032 i lp=110</v>
      </c>
      <c r="Y20" s="37" t="str">
        <f t="shared" si="1"/>
        <v>rokprognozy=2033 i lp=110</v>
      </c>
      <c r="Z20" s="37" t="str">
        <f t="shared" si="1"/>
        <v>rokprognozy=2034 i lp=110</v>
      </c>
      <c r="AA20" s="37" t="str">
        <f t="shared" si="1"/>
        <v>rokprognozy=2035 i lp=110</v>
      </c>
      <c r="AB20" s="37" t="str">
        <f t="shared" si="1"/>
        <v>rokprognozy=2036 i lp=110</v>
      </c>
      <c r="AC20" s="37" t="str">
        <f t="shared" si="1"/>
        <v>rokprognozy=2037 i lp=110</v>
      </c>
      <c r="AD20" s="37" t="str">
        <f t="shared" si="1"/>
        <v>rokprognozy=2038 i lp=110</v>
      </c>
      <c r="AE20" s="37" t="str">
        <f t="shared" si="1"/>
        <v>rokprognozy=2039 i lp=110</v>
      </c>
      <c r="AF20" s="37" t="str">
        <f t="shared" si="1"/>
        <v>rokprognozy=2040 i lp=110</v>
      </c>
      <c r="AG20" s="37" t="str">
        <f t="shared" si="1"/>
        <v>rokprognozy=2041 i lp=110</v>
      </c>
      <c r="AH20" s="37" t="str">
        <f t="shared" si="2"/>
        <v>rokprognozy=2042 i lp=110</v>
      </c>
    </row>
    <row r="21" spans="1:34" ht="11.25">
      <c r="A21" s="36">
        <v>120</v>
      </c>
      <c r="B21" s="36">
        <v>2</v>
      </c>
      <c r="C21" s="37" t="s">
        <v>21</v>
      </c>
      <c r="D21" s="37" t="str">
        <f t="shared" si="3"/>
        <v>rokprognozy=2013 i lp=120</v>
      </c>
      <c r="E21" s="37" t="str">
        <f t="shared" si="4"/>
        <v>rokprognozy=2013 i lp=120</v>
      </c>
      <c r="F21" s="37" t="str">
        <f t="shared" si="4"/>
        <v>rokprognozy=2014 i lp=120</v>
      </c>
      <c r="G21" s="37" t="str">
        <f t="shared" si="4"/>
        <v>rokprognozy=2015 i lp=120</v>
      </c>
      <c r="H21" s="37" t="str">
        <f t="shared" si="4"/>
        <v>rokprognozy=2016 i lp=120</v>
      </c>
      <c r="I21" s="37" t="str">
        <f t="shared" si="4"/>
        <v>rokprognozy=2017 i lp=120</v>
      </c>
      <c r="J21" s="37" t="str">
        <f t="shared" si="4"/>
        <v>rokprognozy=2018 i lp=120</v>
      </c>
      <c r="K21" s="37" t="str">
        <f t="shared" si="4"/>
        <v>rokprognozy=2019 i lp=120</v>
      </c>
      <c r="L21" s="37" t="str">
        <f t="shared" si="4"/>
        <v>rokprognozy=2020 i lp=120</v>
      </c>
      <c r="M21" s="37" t="str">
        <f t="shared" si="4"/>
        <v>rokprognozy=2021 i lp=120</v>
      </c>
      <c r="N21" s="37" t="str">
        <f t="shared" si="1"/>
        <v>rokprognozy=2022 i lp=120</v>
      </c>
      <c r="O21" s="37" t="str">
        <f t="shared" si="1"/>
        <v>rokprognozy=2023 i lp=120</v>
      </c>
      <c r="P21" s="37" t="str">
        <f t="shared" si="1"/>
        <v>rokprognozy=2024 i lp=120</v>
      </c>
      <c r="Q21" s="37" t="str">
        <f t="shared" si="1"/>
        <v>rokprognozy=2025 i lp=120</v>
      </c>
      <c r="R21" s="37" t="str">
        <f t="shared" si="1"/>
        <v>rokprognozy=2026 i lp=120</v>
      </c>
      <c r="S21" s="37" t="str">
        <f t="shared" si="1"/>
        <v>rokprognozy=2027 i lp=120</v>
      </c>
      <c r="T21" s="37" t="str">
        <f t="shared" si="1"/>
        <v>rokprognozy=2028 i lp=120</v>
      </c>
      <c r="U21" s="37" t="str">
        <f t="shared" si="1"/>
        <v>rokprognozy=2029 i lp=120</v>
      </c>
      <c r="V21" s="37" t="str">
        <f t="shared" si="1"/>
        <v>rokprognozy=2030 i lp=120</v>
      </c>
      <c r="W21" s="37" t="str">
        <f t="shared" si="1"/>
        <v>rokprognozy=2031 i lp=120</v>
      </c>
      <c r="X21" s="37" t="str">
        <f t="shared" si="1"/>
        <v>rokprognozy=2032 i lp=120</v>
      </c>
      <c r="Y21" s="37" t="str">
        <f t="shared" si="1"/>
        <v>rokprognozy=2033 i lp=120</v>
      </c>
      <c r="Z21" s="37" t="str">
        <f t="shared" si="1"/>
        <v>rokprognozy=2034 i lp=120</v>
      </c>
      <c r="AA21" s="37" t="str">
        <f t="shared" si="1"/>
        <v>rokprognozy=2035 i lp=120</v>
      </c>
      <c r="AB21" s="37" t="str">
        <f t="shared" si="1"/>
        <v>rokprognozy=2036 i lp=120</v>
      </c>
      <c r="AC21" s="37" t="str">
        <f t="shared" si="1"/>
        <v>rokprognozy=2037 i lp=120</v>
      </c>
      <c r="AD21" s="37" t="str">
        <f t="shared" si="1"/>
        <v>rokprognozy=2038 i lp=120</v>
      </c>
      <c r="AE21" s="37" t="str">
        <f t="shared" si="1"/>
        <v>rokprognozy=2039 i lp=120</v>
      </c>
      <c r="AF21" s="37" t="str">
        <f t="shared" si="1"/>
        <v>rokprognozy=2040 i lp=120</v>
      </c>
      <c r="AG21" s="37" t="str">
        <f t="shared" si="1"/>
        <v>rokprognozy=2041 i lp=120</v>
      </c>
      <c r="AH21" s="37" t="str">
        <f t="shared" si="2"/>
        <v>rokprognozy=2042 i lp=120</v>
      </c>
    </row>
    <row r="22" spans="1:34" ht="11.25">
      <c r="A22" s="36">
        <v>130</v>
      </c>
      <c r="B22" s="36">
        <v>2.1</v>
      </c>
      <c r="C22" s="37" t="s">
        <v>61</v>
      </c>
      <c r="D22" s="37" t="str">
        <f t="shared" si="3"/>
        <v>rokprognozy=2013 i lp=130</v>
      </c>
      <c r="E22" s="37" t="str">
        <f t="shared" si="4"/>
        <v>rokprognozy=2013 i lp=130</v>
      </c>
      <c r="F22" s="37" t="str">
        <f t="shared" si="4"/>
        <v>rokprognozy=2014 i lp=130</v>
      </c>
      <c r="G22" s="37" t="str">
        <f t="shared" si="4"/>
        <v>rokprognozy=2015 i lp=130</v>
      </c>
      <c r="H22" s="37" t="str">
        <f t="shared" si="4"/>
        <v>rokprognozy=2016 i lp=130</v>
      </c>
      <c r="I22" s="37" t="str">
        <f t="shared" si="4"/>
        <v>rokprognozy=2017 i lp=130</v>
      </c>
      <c r="J22" s="37" t="str">
        <f t="shared" si="4"/>
        <v>rokprognozy=2018 i lp=130</v>
      </c>
      <c r="K22" s="37" t="str">
        <f t="shared" si="4"/>
        <v>rokprognozy=2019 i lp=130</v>
      </c>
      <c r="L22" s="37" t="str">
        <f t="shared" si="4"/>
        <v>rokprognozy=2020 i lp=130</v>
      </c>
      <c r="M22" s="37" t="str">
        <f t="shared" si="4"/>
        <v>rokprognozy=2021 i lp=130</v>
      </c>
      <c r="N22" s="37" t="str">
        <f t="shared" si="1"/>
        <v>rokprognozy=2022 i lp=130</v>
      </c>
      <c r="O22" s="37" t="str">
        <f t="shared" si="1"/>
        <v>rokprognozy=2023 i lp=130</v>
      </c>
      <c r="P22" s="37" t="str">
        <f t="shared" si="1"/>
        <v>rokprognozy=2024 i lp=130</v>
      </c>
      <c r="Q22" s="37" t="str">
        <f t="shared" si="1"/>
        <v>rokprognozy=2025 i lp=130</v>
      </c>
      <c r="R22" s="37" t="str">
        <f t="shared" si="1"/>
        <v>rokprognozy=2026 i lp=130</v>
      </c>
      <c r="S22" s="37" t="str">
        <f t="shared" si="1"/>
        <v>rokprognozy=2027 i lp=130</v>
      </c>
      <c r="T22" s="37" t="str">
        <f aca="true" t="shared" si="5" ref="T22:AH22">+"rokprognozy="&amp;T$9&amp;" i lp="&amp;$A22</f>
        <v>rokprognozy=2028 i lp=130</v>
      </c>
      <c r="U22" s="37" t="str">
        <f t="shared" si="5"/>
        <v>rokprognozy=2029 i lp=130</v>
      </c>
      <c r="V22" s="37" t="str">
        <f t="shared" si="5"/>
        <v>rokprognozy=2030 i lp=130</v>
      </c>
      <c r="W22" s="37" t="str">
        <f t="shared" si="5"/>
        <v>rokprognozy=2031 i lp=130</v>
      </c>
      <c r="X22" s="37" t="str">
        <f t="shared" si="5"/>
        <v>rokprognozy=2032 i lp=130</v>
      </c>
      <c r="Y22" s="37" t="str">
        <f t="shared" si="5"/>
        <v>rokprognozy=2033 i lp=130</v>
      </c>
      <c r="Z22" s="37" t="str">
        <f t="shared" si="5"/>
        <v>rokprognozy=2034 i lp=130</v>
      </c>
      <c r="AA22" s="37" t="str">
        <f t="shared" si="5"/>
        <v>rokprognozy=2035 i lp=130</v>
      </c>
      <c r="AB22" s="37" t="str">
        <f t="shared" si="5"/>
        <v>rokprognozy=2036 i lp=130</v>
      </c>
      <c r="AC22" s="37" t="str">
        <f t="shared" si="5"/>
        <v>rokprognozy=2037 i lp=130</v>
      </c>
      <c r="AD22" s="37" t="str">
        <f t="shared" si="5"/>
        <v>rokprognozy=2038 i lp=130</v>
      </c>
      <c r="AE22" s="37" t="str">
        <f t="shared" si="5"/>
        <v>rokprognozy=2039 i lp=130</v>
      </c>
      <c r="AF22" s="37" t="str">
        <f t="shared" si="5"/>
        <v>rokprognozy=2040 i lp=130</v>
      </c>
      <c r="AG22" s="37" t="str">
        <f t="shared" si="5"/>
        <v>rokprognozy=2041 i lp=130</v>
      </c>
      <c r="AH22" s="37" t="str">
        <f t="shared" si="5"/>
        <v>rokprognozy=2042 i lp=130</v>
      </c>
    </row>
    <row r="23" spans="1:34" ht="11.25">
      <c r="A23" s="36">
        <v>140</v>
      </c>
      <c r="B23" s="36" t="s">
        <v>62</v>
      </c>
      <c r="C23" s="37" t="s">
        <v>63</v>
      </c>
      <c r="D23" s="37" t="str">
        <f t="shared" si="3"/>
        <v>rokprognozy=2013 i lp=140</v>
      </c>
      <c r="E23" s="37" t="str">
        <f t="shared" si="4"/>
        <v>rokprognozy=2013 i lp=140</v>
      </c>
      <c r="F23" s="37" t="str">
        <f t="shared" si="4"/>
        <v>rokprognozy=2014 i lp=140</v>
      </c>
      <c r="G23" s="37" t="str">
        <f t="shared" si="4"/>
        <v>rokprognozy=2015 i lp=140</v>
      </c>
      <c r="H23" s="37" t="str">
        <f t="shared" si="4"/>
        <v>rokprognozy=2016 i lp=140</v>
      </c>
      <c r="I23" s="37" t="str">
        <f t="shared" si="4"/>
        <v>rokprognozy=2017 i lp=140</v>
      </c>
      <c r="J23" s="37" t="str">
        <f t="shared" si="4"/>
        <v>rokprognozy=2018 i lp=140</v>
      </c>
      <c r="K23" s="37" t="str">
        <f t="shared" si="4"/>
        <v>rokprognozy=2019 i lp=140</v>
      </c>
      <c r="L23" s="37" t="str">
        <f t="shared" si="4"/>
        <v>rokprognozy=2020 i lp=140</v>
      </c>
      <c r="M23" s="37" t="str">
        <f t="shared" si="4"/>
        <v>rokprognozy=2021 i lp=140</v>
      </c>
      <c r="N23" s="37" t="str">
        <f aca="true" t="shared" si="6" ref="N23:AC38">+"rokprognozy="&amp;N$9&amp;" i lp="&amp;$A23</f>
        <v>rokprognozy=2022 i lp=140</v>
      </c>
      <c r="O23" s="37" t="str">
        <f t="shared" si="6"/>
        <v>rokprognozy=2023 i lp=140</v>
      </c>
      <c r="P23" s="37" t="str">
        <f t="shared" si="6"/>
        <v>rokprognozy=2024 i lp=140</v>
      </c>
      <c r="Q23" s="37" t="str">
        <f t="shared" si="6"/>
        <v>rokprognozy=2025 i lp=140</v>
      </c>
      <c r="R23" s="37" t="str">
        <f t="shared" si="6"/>
        <v>rokprognozy=2026 i lp=140</v>
      </c>
      <c r="S23" s="37" t="str">
        <f t="shared" si="6"/>
        <v>rokprognozy=2027 i lp=140</v>
      </c>
      <c r="T23" s="37" t="str">
        <f t="shared" si="6"/>
        <v>rokprognozy=2028 i lp=140</v>
      </c>
      <c r="U23" s="37" t="str">
        <f t="shared" si="6"/>
        <v>rokprognozy=2029 i lp=140</v>
      </c>
      <c r="V23" s="37" t="str">
        <f t="shared" si="6"/>
        <v>rokprognozy=2030 i lp=140</v>
      </c>
      <c r="W23" s="37" t="str">
        <f t="shared" si="6"/>
        <v>rokprognozy=2031 i lp=140</v>
      </c>
      <c r="X23" s="37" t="str">
        <f t="shared" si="6"/>
        <v>rokprognozy=2032 i lp=140</v>
      </c>
      <c r="Y23" s="37" t="str">
        <f t="shared" si="6"/>
        <v>rokprognozy=2033 i lp=140</v>
      </c>
      <c r="Z23" s="37" t="str">
        <f t="shared" si="6"/>
        <v>rokprognozy=2034 i lp=140</v>
      </c>
      <c r="AA23" s="37" t="str">
        <f t="shared" si="6"/>
        <v>rokprognozy=2035 i lp=140</v>
      </c>
      <c r="AB23" s="37" t="str">
        <f t="shared" si="6"/>
        <v>rokprognozy=2036 i lp=140</v>
      </c>
      <c r="AC23" s="37" t="str">
        <f t="shared" si="6"/>
        <v>rokprognozy=2037 i lp=140</v>
      </c>
      <c r="AD23" s="37" t="str">
        <f aca="true" t="shared" si="7" ref="AD23:AH39">+"rokprognozy="&amp;AD$9&amp;" i lp="&amp;$A23</f>
        <v>rokprognozy=2038 i lp=140</v>
      </c>
      <c r="AE23" s="37" t="str">
        <f t="shared" si="7"/>
        <v>rokprognozy=2039 i lp=140</v>
      </c>
      <c r="AF23" s="37" t="str">
        <f t="shared" si="7"/>
        <v>rokprognozy=2040 i lp=140</v>
      </c>
      <c r="AG23" s="37" t="str">
        <f t="shared" si="7"/>
        <v>rokprognozy=2041 i lp=140</v>
      </c>
      <c r="AH23" s="37" t="str">
        <f t="shared" si="7"/>
        <v>rokprognozy=2042 i lp=140</v>
      </c>
    </row>
    <row r="24" spans="1:34" ht="11.25">
      <c r="A24" s="36">
        <v>150</v>
      </c>
      <c r="B24" s="36" t="s">
        <v>64</v>
      </c>
      <c r="C24" s="37" t="s">
        <v>65</v>
      </c>
      <c r="D24" s="37" t="str">
        <f t="shared" si="3"/>
        <v>rokprognozy=2013 i lp=150</v>
      </c>
      <c r="E24" s="37" t="str">
        <f t="shared" si="4"/>
        <v>rokprognozy=2013 i lp=150</v>
      </c>
      <c r="F24" s="37" t="str">
        <f t="shared" si="4"/>
        <v>rokprognozy=2014 i lp=150</v>
      </c>
      <c r="G24" s="37" t="str">
        <f t="shared" si="4"/>
        <v>rokprognozy=2015 i lp=150</v>
      </c>
      <c r="H24" s="37" t="str">
        <f t="shared" si="4"/>
        <v>rokprognozy=2016 i lp=150</v>
      </c>
      <c r="I24" s="37" t="str">
        <f t="shared" si="4"/>
        <v>rokprognozy=2017 i lp=150</v>
      </c>
      <c r="J24" s="37" t="str">
        <f t="shared" si="4"/>
        <v>rokprognozy=2018 i lp=150</v>
      </c>
      <c r="K24" s="37" t="str">
        <f t="shared" si="4"/>
        <v>rokprognozy=2019 i lp=150</v>
      </c>
      <c r="L24" s="37" t="str">
        <f t="shared" si="4"/>
        <v>rokprognozy=2020 i lp=150</v>
      </c>
      <c r="M24" s="37" t="str">
        <f t="shared" si="4"/>
        <v>rokprognozy=2021 i lp=150</v>
      </c>
      <c r="N24" s="37" t="str">
        <f t="shared" si="6"/>
        <v>rokprognozy=2022 i lp=150</v>
      </c>
      <c r="O24" s="37" t="str">
        <f t="shared" si="6"/>
        <v>rokprognozy=2023 i lp=150</v>
      </c>
      <c r="P24" s="37" t="str">
        <f t="shared" si="6"/>
        <v>rokprognozy=2024 i lp=150</v>
      </c>
      <c r="Q24" s="37" t="str">
        <f t="shared" si="6"/>
        <v>rokprognozy=2025 i lp=150</v>
      </c>
      <c r="R24" s="37" t="str">
        <f t="shared" si="6"/>
        <v>rokprognozy=2026 i lp=150</v>
      </c>
      <c r="S24" s="37" t="str">
        <f t="shared" si="6"/>
        <v>rokprognozy=2027 i lp=150</v>
      </c>
      <c r="T24" s="37" t="str">
        <f t="shared" si="6"/>
        <v>rokprognozy=2028 i lp=150</v>
      </c>
      <c r="U24" s="37" t="str">
        <f t="shared" si="6"/>
        <v>rokprognozy=2029 i lp=150</v>
      </c>
      <c r="V24" s="37" t="str">
        <f t="shared" si="6"/>
        <v>rokprognozy=2030 i lp=150</v>
      </c>
      <c r="W24" s="37" t="str">
        <f t="shared" si="6"/>
        <v>rokprognozy=2031 i lp=150</v>
      </c>
      <c r="X24" s="37" t="str">
        <f t="shared" si="6"/>
        <v>rokprognozy=2032 i lp=150</v>
      </c>
      <c r="Y24" s="37" t="str">
        <f t="shared" si="6"/>
        <v>rokprognozy=2033 i lp=150</v>
      </c>
      <c r="Z24" s="37" t="str">
        <f t="shared" si="6"/>
        <v>rokprognozy=2034 i lp=150</v>
      </c>
      <c r="AA24" s="37" t="str">
        <f t="shared" si="6"/>
        <v>rokprognozy=2035 i lp=150</v>
      </c>
      <c r="AB24" s="37" t="str">
        <f t="shared" si="6"/>
        <v>rokprognozy=2036 i lp=150</v>
      </c>
      <c r="AC24" s="37" t="str">
        <f t="shared" si="6"/>
        <v>rokprognozy=2037 i lp=150</v>
      </c>
      <c r="AD24" s="37" t="str">
        <f t="shared" si="7"/>
        <v>rokprognozy=2038 i lp=150</v>
      </c>
      <c r="AE24" s="37" t="str">
        <f t="shared" si="7"/>
        <v>rokprognozy=2039 i lp=150</v>
      </c>
      <c r="AF24" s="37" t="str">
        <f t="shared" si="7"/>
        <v>rokprognozy=2040 i lp=150</v>
      </c>
      <c r="AG24" s="37" t="str">
        <f t="shared" si="7"/>
        <v>rokprognozy=2041 i lp=150</v>
      </c>
      <c r="AH24" s="37" t="str">
        <f t="shared" si="7"/>
        <v>rokprognozy=2042 i lp=150</v>
      </c>
    </row>
    <row r="25" spans="1:34" ht="11.25">
      <c r="A25" s="36">
        <v>160</v>
      </c>
      <c r="B25" s="36" t="s">
        <v>66</v>
      </c>
      <c r="C25" s="37" t="s">
        <v>67</v>
      </c>
      <c r="D25" s="37" t="str">
        <f t="shared" si="3"/>
        <v>rokprognozy=2013 i lp=160</v>
      </c>
      <c r="E25" s="37" t="str">
        <f t="shared" si="4"/>
        <v>rokprognozy=2013 i lp=160</v>
      </c>
      <c r="F25" s="37" t="str">
        <f t="shared" si="4"/>
        <v>rokprognozy=2014 i lp=160</v>
      </c>
      <c r="G25" s="37" t="str">
        <f t="shared" si="4"/>
        <v>rokprognozy=2015 i lp=160</v>
      </c>
      <c r="H25" s="37" t="str">
        <f t="shared" si="4"/>
        <v>rokprognozy=2016 i lp=160</v>
      </c>
      <c r="I25" s="37" t="str">
        <f t="shared" si="4"/>
        <v>rokprognozy=2017 i lp=160</v>
      </c>
      <c r="J25" s="37" t="str">
        <f t="shared" si="4"/>
        <v>rokprognozy=2018 i lp=160</v>
      </c>
      <c r="K25" s="37" t="str">
        <f t="shared" si="4"/>
        <v>rokprognozy=2019 i lp=160</v>
      </c>
      <c r="L25" s="37" t="str">
        <f t="shared" si="4"/>
        <v>rokprognozy=2020 i lp=160</v>
      </c>
      <c r="M25" s="37" t="str">
        <f t="shared" si="4"/>
        <v>rokprognozy=2021 i lp=160</v>
      </c>
      <c r="N25" s="37" t="str">
        <f t="shared" si="6"/>
        <v>rokprognozy=2022 i lp=160</v>
      </c>
      <c r="O25" s="37" t="str">
        <f t="shared" si="6"/>
        <v>rokprognozy=2023 i lp=160</v>
      </c>
      <c r="P25" s="37" t="str">
        <f t="shared" si="6"/>
        <v>rokprognozy=2024 i lp=160</v>
      </c>
      <c r="Q25" s="37" t="str">
        <f t="shared" si="6"/>
        <v>rokprognozy=2025 i lp=160</v>
      </c>
      <c r="R25" s="37" t="str">
        <f t="shared" si="6"/>
        <v>rokprognozy=2026 i lp=160</v>
      </c>
      <c r="S25" s="37" t="str">
        <f t="shared" si="6"/>
        <v>rokprognozy=2027 i lp=160</v>
      </c>
      <c r="T25" s="37" t="str">
        <f t="shared" si="6"/>
        <v>rokprognozy=2028 i lp=160</v>
      </c>
      <c r="U25" s="37" t="str">
        <f t="shared" si="6"/>
        <v>rokprognozy=2029 i lp=160</v>
      </c>
      <c r="V25" s="37" t="str">
        <f t="shared" si="6"/>
        <v>rokprognozy=2030 i lp=160</v>
      </c>
      <c r="W25" s="37" t="str">
        <f t="shared" si="6"/>
        <v>rokprognozy=2031 i lp=160</v>
      </c>
      <c r="X25" s="37" t="str">
        <f t="shared" si="6"/>
        <v>rokprognozy=2032 i lp=160</v>
      </c>
      <c r="Y25" s="37" t="str">
        <f t="shared" si="6"/>
        <v>rokprognozy=2033 i lp=160</v>
      </c>
      <c r="Z25" s="37" t="str">
        <f t="shared" si="6"/>
        <v>rokprognozy=2034 i lp=160</v>
      </c>
      <c r="AA25" s="37" t="str">
        <f t="shared" si="6"/>
        <v>rokprognozy=2035 i lp=160</v>
      </c>
      <c r="AB25" s="37" t="str">
        <f t="shared" si="6"/>
        <v>rokprognozy=2036 i lp=160</v>
      </c>
      <c r="AC25" s="37" t="str">
        <f t="shared" si="6"/>
        <v>rokprognozy=2037 i lp=160</v>
      </c>
      <c r="AD25" s="37" t="str">
        <f t="shared" si="7"/>
        <v>rokprognozy=2038 i lp=160</v>
      </c>
      <c r="AE25" s="37" t="str">
        <f t="shared" si="7"/>
        <v>rokprognozy=2039 i lp=160</v>
      </c>
      <c r="AF25" s="37" t="str">
        <f t="shared" si="7"/>
        <v>rokprognozy=2040 i lp=160</v>
      </c>
      <c r="AG25" s="37" t="str">
        <f t="shared" si="7"/>
        <v>rokprognozy=2041 i lp=160</v>
      </c>
      <c r="AH25" s="37" t="str">
        <f t="shared" si="7"/>
        <v>rokprognozy=2042 i lp=160</v>
      </c>
    </row>
    <row r="26" spans="1:34" ht="11.25">
      <c r="A26" s="36">
        <v>170</v>
      </c>
      <c r="B26" s="36" t="s">
        <v>68</v>
      </c>
      <c r="C26" s="37" t="s">
        <v>69</v>
      </c>
      <c r="D26" s="37" t="str">
        <f t="shared" si="3"/>
        <v>rokprognozy=2013 i lp=170</v>
      </c>
      <c r="E26" s="37" t="str">
        <f t="shared" si="4"/>
        <v>rokprognozy=2013 i lp=170</v>
      </c>
      <c r="F26" s="37" t="str">
        <f t="shared" si="4"/>
        <v>rokprognozy=2014 i lp=170</v>
      </c>
      <c r="G26" s="37" t="str">
        <f t="shared" si="4"/>
        <v>rokprognozy=2015 i lp=170</v>
      </c>
      <c r="H26" s="37" t="str">
        <f t="shared" si="4"/>
        <v>rokprognozy=2016 i lp=170</v>
      </c>
      <c r="I26" s="37" t="str">
        <f t="shared" si="4"/>
        <v>rokprognozy=2017 i lp=170</v>
      </c>
      <c r="J26" s="37" t="str">
        <f t="shared" si="4"/>
        <v>rokprognozy=2018 i lp=170</v>
      </c>
      <c r="K26" s="37" t="str">
        <f t="shared" si="4"/>
        <v>rokprognozy=2019 i lp=170</v>
      </c>
      <c r="L26" s="37" t="str">
        <f t="shared" si="4"/>
        <v>rokprognozy=2020 i lp=170</v>
      </c>
      <c r="M26" s="37" t="str">
        <f t="shared" si="4"/>
        <v>rokprognozy=2021 i lp=170</v>
      </c>
      <c r="N26" s="37" t="str">
        <f t="shared" si="6"/>
        <v>rokprognozy=2022 i lp=170</v>
      </c>
      <c r="O26" s="37" t="str">
        <f t="shared" si="6"/>
        <v>rokprognozy=2023 i lp=170</v>
      </c>
      <c r="P26" s="37" t="str">
        <f t="shared" si="6"/>
        <v>rokprognozy=2024 i lp=170</v>
      </c>
      <c r="Q26" s="37" t="str">
        <f t="shared" si="6"/>
        <v>rokprognozy=2025 i lp=170</v>
      </c>
      <c r="R26" s="37" t="str">
        <f t="shared" si="6"/>
        <v>rokprognozy=2026 i lp=170</v>
      </c>
      <c r="S26" s="37" t="str">
        <f t="shared" si="6"/>
        <v>rokprognozy=2027 i lp=170</v>
      </c>
      <c r="T26" s="37" t="str">
        <f t="shared" si="6"/>
        <v>rokprognozy=2028 i lp=170</v>
      </c>
      <c r="U26" s="37" t="str">
        <f t="shared" si="6"/>
        <v>rokprognozy=2029 i lp=170</v>
      </c>
      <c r="V26" s="37" t="str">
        <f t="shared" si="6"/>
        <v>rokprognozy=2030 i lp=170</v>
      </c>
      <c r="W26" s="37" t="str">
        <f t="shared" si="6"/>
        <v>rokprognozy=2031 i lp=170</v>
      </c>
      <c r="X26" s="37" t="str">
        <f t="shared" si="6"/>
        <v>rokprognozy=2032 i lp=170</v>
      </c>
      <c r="Y26" s="37" t="str">
        <f t="shared" si="6"/>
        <v>rokprognozy=2033 i lp=170</v>
      </c>
      <c r="Z26" s="37" t="str">
        <f t="shared" si="6"/>
        <v>rokprognozy=2034 i lp=170</v>
      </c>
      <c r="AA26" s="37" t="str">
        <f t="shared" si="6"/>
        <v>rokprognozy=2035 i lp=170</v>
      </c>
      <c r="AB26" s="37" t="str">
        <f t="shared" si="6"/>
        <v>rokprognozy=2036 i lp=170</v>
      </c>
      <c r="AC26" s="37" t="str">
        <f t="shared" si="6"/>
        <v>rokprognozy=2037 i lp=170</v>
      </c>
      <c r="AD26" s="37" t="str">
        <f t="shared" si="7"/>
        <v>rokprognozy=2038 i lp=170</v>
      </c>
      <c r="AE26" s="37" t="str">
        <f t="shared" si="7"/>
        <v>rokprognozy=2039 i lp=170</v>
      </c>
      <c r="AF26" s="37" t="str">
        <f t="shared" si="7"/>
        <v>rokprognozy=2040 i lp=170</v>
      </c>
      <c r="AG26" s="37" t="str">
        <f t="shared" si="7"/>
        <v>rokprognozy=2041 i lp=170</v>
      </c>
      <c r="AH26" s="37" t="str">
        <f t="shared" si="7"/>
        <v>rokprognozy=2042 i lp=170</v>
      </c>
    </row>
    <row r="27" spans="1:34" ht="11.25">
      <c r="A27" s="36">
        <v>180</v>
      </c>
      <c r="B27" s="36" t="s">
        <v>70</v>
      </c>
      <c r="C27" s="37" t="s">
        <v>71</v>
      </c>
      <c r="D27" s="37" t="str">
        <f t="shared" si="3"/>
        <v>rokprognozy=2013 i lp=180</v>
      </c>
      <c r="E27" s="37" t="str">
        <f t="shared" si="4"/>
        <v>rokprognozy=2013 i lp=180</v>
      </c>
      <c r="F27" s="37" t="str">
        <f t="shared" si="4"/>
        <v>rokprognozy=2014 i lp=180</v>
      </c>
      <c r="G27" s="37" t="str">
        <f t="shared" si="4"/>
        <v>rokprognozy=2015 i lp=180</v>
      </c>
      <c r="H27" s="37" t="str">
        <f t="shared" si="4"/>
        <v>rokprognozy=2016 i lp=180</v>
      </c>
      <c r="I27" s="37" t="str">
        <f t="shared" si="4"/>
        <v>rokprognozy=2017 i lp=180</v>
      </c>
      <c r="J27" s="37" t="str">
        <f t="shared" si="4"/>
        <v>rokprognozy=2018 i lp=180</v>
      </c>
      <c r="K27" s="37" t="str">
        <f t="shared" si="4"/>
        <v>rokprognozy=2019 i lp=180</v>
      </c>
      <c r="L27" s="37" t="str">
        <f t="shared" si="4"/>
        <v>rokprognozy=2020 i lp=180</v>
      </c>
      <c r="M27" s="37" t="str">
        <f t="shared" si="4"/>
        <v>rokprognozy=2021 i lp=180</v>
      </c>
      <c r="N27" s="37" t="str">
        <f t="shared" si="6"/>
        <v>rokprognozy=2022 i lp=180</v>
      </c>
      <c r="O27" s="37" t="str">
        <f t="shared" si="6"/>
        <v>rokprognozy=2023 i lp=180</v>
      </c>
      <c r="P27" s="37" t="str">
        <f t="shared" si="6"/>
        <v>rokprognozy=2024 i lp=180</v>
      </c>
      <c r="Q27" s="37" t="str">
        <f t="shared" si="6"/>
        <v>rokprognozy=2025 i lp=180</v>
      </c>
      <c r="R27" s="37" t="str">
        <f t="shared" si="6"/>
        <v>rokprognozy=2026 i lp=180</v>
      </c>
      <c r="S27" s="37" t="str">
        <f t="shared" si="6"/>
        <v>rokprognozy=2027 i lp=180</v>
      </c>
      <c r="T27" s="37" t="str">
        <f t="shared" si="6"/>
        <v>rokprognozy=2028 i lp=180</v>
      </c>
      <c r="U27" s="37" t="str">
        <f t="shared" si="6"/>
        <v>rokprognozy=2029 i lp=180</v>
      </c>
      <c r="V27" s="37" t="str">
        <f t="shared" si="6"/>
        <v>rokprognozy=2030 i lp=180</v>
      </c>
      <c r="W27" s="37" t="str">
        <f t="shared" si="6"/>
        <v>rokprognozy=2031 i lp=180</v>
      </c>
      <c r="X27" s="37" t="str">
        <f t="shared" si="6"/>
        <v>rokprognozy=2032 i lp=180</v>
      </c>
      <c r="Y27" s="37" t="str">
        <f t="shared" si="6"/>
        <v>rokprognozy=2033 i lp=180</v>
      </c>
      <c r="Z27" s="37" t="str">
        <f t="shared" si="6"/>
        <v>rokprognozy=2034 i lp=180</v>
      </c>
      <c r="AA27" s="37" t="str">
        <f t="shared" si="6"/>
        <v>rokprognozy=2035 i lp=180</v>
      </c>
      <c r="AB27" s="37" t="str">
        <f t="shared" si="6"/>
        <v>rokprognozy=2036 i lp=180</v>
      </c>
      <c r="AC27" s="37" t="str">
        <f t="shared" si="6"/>
        <v>rokprognozy=2037 i lp=180</v>
      </c>
      <c r="AD27" s="37" t="str">
        <f t="shared" si="7"/>
        <v>rokprognozy=2038 i lp=180</v>
      </c>
      <c r="AE27" s="37" t="str">
        <f t="shared" si="7"/>
        <v>rokprognozy=2039 i lp=180</v>
      </c>
      <c r="AF27" s="37" t="str">
        <f t="shared" si="7"/>
        <v>rokprognozy=2040 i lp=180</v>
      </c>
      <c r="AG27" s="37" t="str">
        <f t="shared" si="7"/>
        <v>rokprognozy=2041 i lp=180</v>
      </c>
      <c r="AH27" s="37" t="str">
        <f t="shared" si="7"/>
        <v>rokprognozy=2042 i lp=180</v>
      </c>
    </row>
    <row r="28" spans="1:34" ht="11.25">
      <c r="A28" s="36">
        <v>190</v>
      </c>
      <c r="B28" s="36">
        <v>2.2</v>
      </c>
      <c r="C28" s="37" t="s">
        <v>72</v>
      </c>
      <c r="D28" s="37" t="str">
        <f t="shared" si="3"/>
        <v>rokprognozy=2013 i lp=190</v>
      </c>
      <c r="E28" s="37" t="str">
        <f t="shared" si="4"/>
        <v>rokprognozy=2013 i lp=190</v>
      </c>
      <c r="F28" s="37" t="str">
        <f t="shared" si="4"/>
        <v>rokprognozy=2014 i lp=190</v>
      </c>
      <c r="G28" s="37" t="str">
        <f t="shared" si="4"/>
        <v>rokprognozy=2015 i lp=190</v>
      </c>
      <c r="H28" s="37" t="str">
        <f t="shared" si="4"/>
        <v>rokprognozy=2016 i lp=190</v>
      </c>
      <c r="I28" s="37" t="str">
        <f t="shared" si="4"/>
        <v>rokprognozy=2017 i lp=190</v>
      </c>
      <c r="J28" s="37" t="str">
        <f t="shared" si="4"/>
        <v>rokprognozy=2018 i lp=190</v>
      </c>
      <c r="K28" s="37" t="str">
        <f t="shared" si="4"/>
        <v>rokprognozy=2019 i lp=190</v>
      </c>
      <c r="L28" s="37" t="str">
        <f t="shared" si="4"/>
        <v>rokprognozy=2020 i lp=190</v>
      </c>
      <c r="M28" s="37" t="str">
        <f t="shared" si="4"/>
        <v>rokprognozy=2021 i lp=190</v>
      </c>
      <c r="N28" s="37" t="str">
        <f t="shared" si="6"/>
        <v>rokprognozy=2022 i lp=190</v>
      </c>
      <c r="O28" s="37" t="str">
        <f t="shared" si="6"/>
        <v>rokprognozy=2023 i lp=190</v>
      </c>
      <c r="P28" s="37" t="str">
        <f t="shared" si="6"/>
        <v>rokprognozy=2024 i lp=190</v>
      </c>
      <c r="Q28" s="37" t="str">
        <f t="shared" si="6"/>
        <v>rokprognozy=2025 i lp=190</v>
      </c>
      <c r="R28" s="37" t="str">
        <f t="shared" si="6"/>
        <v>rokprognozy=2026 i lp=190</v>
      </c>
      <c r="S28" s="37" t="str">
        <f t="shared" si="6"/>
        <v>rokprognozy=2027 i lp=190</v>
      </c>
      <c r="T28" s="37" t="str">
        <f t="shared" si="6"/>
        <v>rokprognozy=2028 i lp=190</v>
      </c>
      <c r="U28" s="37" t="str">
        <f t="shared" si="6"/>
        <v>rokprognozy=2029 i lp=190</v>
      </c>
      <c r="V28" s="37" t="str">
        <f t="shared" si="6"/>
        <v>rokprognozy=2030 i lp=190</v>
      </c>
      <c r="W28" s="37" t="str">
        <f t="shared" si="6"/>
        <v>rokprognozy=2031 i lp=190</v>
      </c>
      <c r="X28" s="37" t="str">
        <f t="shared" si="6"/>
        <v>rokprognozy=2032 i lp=190</v>
      </c>
      <c r="Y28" s="37" t="str">
        <f t="shared" si="6"/>
        <v>rokprognozy=2033 i lp=190</v>
      </c>
      <c r="Z28" s="37" t="str">
        <f t="shared" si="6"/>
        <v>rokprognozy=2034 i lp=190</v>
      </c>
      <c r="AA28" s="37" t="str">
        <f t="shared" si="6"/>
        <v>rokprognozy=2035 i lp=190</v>
      </c>
      <c r="AB28" s="37" t="str">
        <f t="shared" si="6"/>
        <v>rokprognozy=2036 i lp=190</v>
      </c>
      <c r="AC28" s="37" t="str">
        <f t="shared" si="6"/>
        <v>rokprognozy=2037 i lp=190</v>
      </c>
      <c r="AD28" s="37" t="str">
        <f t="shared" si="7"/>
        <v>rokprognozy=2038 i lp=190</v>
      </c>
      <c r="AE28" s="37" t="str">
        <f t="shared" si="7"/>
        <v>rokprognozy=2039 i lp=190</v>
      </c>
      <c r="AF28" s="37" t="str">
        <f t="shared" si="7"/>
        <v>rokprognozy=2040 i lp=190</v>
      </c>
      <c r="AG28" s="37" t="str">
        <f t="shared" si="7"/>
        <v>rokprognozy=2041 i lp=190</v>
      </c>
      <c r="AH28" s="37" t="str">
        <f t="shared" si="7"/>
        <v>rokprognozy=2042 i lp=190</v>
      </c>
    </row>
    <row r="29" spans="1:34" ht="11.25">
      <c r="A29" s="36">
        <v>200</v>
      </c>
      <c r="B29" s="36">
        <v>3</v>
      </c>
      <c r="C29" s="37" t="s">
        <v>23</v>
      </c>
      <c r="D29" s="37" t="str">
        <f t="shared" si="3"/>
        <v>rokprognozy=2013 i lp=200</v>
      </c>
      <c r="E29" s="37" t="str">
        <f t="shared" si="4"/>
        <v>rokprognozy=2013 i lp=200</v>
      </c>
      <c r="F29" s="37" t="str">
        <f t="shared" si="4"/>
        <v>rokprognozy=2014 i lp=200</v>
      </c>
      <c r="G29" s="37" t="str">
        <f t="shared" si="4"/>
        <v>rokprognozy=2015 i lp=200</v>
      </c>
      <c r="H29" s="37" t="str">
        <f t="shared" si="4"/>
        <v>rokprognozy=2016 i lp=200</v>
      </c>
      <c r="I29" s="37" t="str">
        <f t="shared" si="4"/>
        <v>rokprognozy=2017 i lp=200</v>
      </c>
      <c r="J29" s="37" t="str">
        <f t="shared" si="4"/>
        <v>rokprognozy=2018 i lp=200</v>
      </c>
      <c r="K29" s="37" t="str">
        <f t="shared" si="4"/>
        <v>rokprognozy=2019 i lp=200</v>
      </c>
      <c r="L29" s="37" t="str">
        <f t="shared" si="4"/>
        <v>rokprognozy=2020 i lp=200</v>
      </c>
      <c r="M29" s="37" t="str">
        <f t="shared" si="4"/>
        <v>rokprognozy=2021 i lp=200</v>
      </c>
      <c r="N29" s="37" t="str">
        <f t="shared" si="6"/>
        <v>rokprognozy=2022 i lp=200</v>
      </c>
      <c r="O29" s="37" t="str">
        <f t="shared" si="6"/>
        <v>rokprognozy=2023 i lp=200</v>
      </c>
      <c r="P29" s="37" t="str">
        <f t="shared" si="6"/>
        <v>rokprognozy=2024 i lp=200</v>
      </c>
      <c r="Q29" s="37" t="str">
        <f t="shared" si="6"/>
        <v>rokprognozy=2025 i lp=200</v>
      </c>
      <c r="R29" s="37" t="str">
        <f t="shared" si="6"/>
        <v>rokprognozy=2026 i lp=200</v>
      </c>
      <c r="S29" s="37" t="str">
        <f t="shared" si="6"/>
        <v>rokprognozy=2027 i lp=200</v>
      </c>
      <c r="T29" s="37" t="str">
        <f t="shared" si="6"/>
        <v>rokprognozy=2028 i lp=200</v>
      </c>
      <c r="U29" s="37" t="str">
        <f t="shared" si="6"/>
        <v>rokprognozy=2029 i lp=200</v>
      </c>
      <c r="V29" s="37" t="str">
        <f t="shared" si="6"/>
        <v>rokprognozy=2030 i lp=200</v>
      </c>
      <c r="W29" s="37" t="str">
        <f t="shared" si="6"/>
        <v>rokprognozy=2031 i lp=200</v>
      </c>
      <c r="X29" s="37" t="str">
        <f t="shared" si="6"/>
        <v>rokprognozy=2032 i lp=200</v>
      </c>
      <c r="Y29" s="37" t="str">
        <f t="shared" si="6"/>
        <v>rokprognozy=2033 i lp=200</v>
      </c>
      <c r="Z29" s="37" t="str">
        <f t="shared" si="6"/>
        <v>rokprognozy=2034 i lp=200</v>
      </c>
      <c r="AA29" s="37" t="str">
        <f t="shared" si="6"/>
        <v>rokprognozy=2035 i lp=200</v>
      </c>
      <c r="AB29" s="37" t="str">
        <f t="shared" si="6"/>
        <v>rokprognozy=2036 i lp=200</v>
      </c>
      <c r="AC29" s="37" t="str">
        <f t="shared" si="6"/>
        <v>rokprognozy=2037 i lp=200</v>
      </c>
      <c r="AD29" s="37" t="str">
        <f t="shared" si="7"/>
        <v>rokprognozy=2038 i lp=200</v>
      </c>
      <c r="AE29" s="37" t="str">
        <f t="shared" si="7"/>
        <v>rokprognozy=2039 i lp=200</v>
      </c>
      <c r="AF29" s="37" t="str">
        <f t="shared" si="7"/>
        <v>rokprognozy=2040 i lp=200</v>
      </c>
      <c r="AG29" s="37" t="str">
        <f t="shared" si="7"/>
        <v>rokprognozy=2041 i lp=200</v>
      </c>
      <c r="AH29" s="37" t="str">
        <f t="shared" si="7"/>
        <v>rokprognozy=2042 i lp=200</v>
      </c>
    </row>
    <row r="30" spans="1:34" ht="11.25">
      <c r="A30" s="36">
        <v>210</v>
      </c>
      <c r="B30" s="36">
        <v>4</v>
      </c>
      <c r="C30" s="37" t="s">
        <v>24</v>
      </c>
      <c r="D30" s="37" t="str">
        <f t="shared" si="3"/>
        <v>rokprognozy=2013 i lp=210</v>
      </c>
      <c r="E30" s="37" t="str">
        <f t="shared" si="4"/>
        <v>rokprognozy=2013 i lp=210</v>
      </c>
      <c r="F30" s="37" t="str">
        <f t="shared" si="4"/>
        <v>rokprognozy=2014 i lp=210</v>
      </c>
      <c r="G30" s="37" t="str">
        <f t="shared" si="4"/>
        <v>rokprognozy=2015 i lp=210</v>
      </c>
      <c r="H30" s="37" t="str">
        <f t="shared" si="4"/>
        <v>rokprognozy=2016 i lp=210</v>
      </c>
      <c r="I30" s="37" t="str">
        <f t="shared" si="4"/>
        <v>rokprognozy=2017 i lp=210</v>
      </c>
      <c r="J30" s="37" t="str">
        <f t="shared" si="4"/>
        <v>rokprognozy=2018 i lp=210</v>
      </c>
      <c r="K30" s="37" t="str">
        <f t="shared" si="4"/>
        <v>rokprognozy=2019 i lp=210</v>
      </c>
      <c r="L30" s="37" t="str">
        <f t="shared" si="4"/>
        <v>rokprognozy=2020 i lp=210</v>
      </c>
      <c r="M30" s="37" t="str">
        <f t="shared" si="4"/>
        <v>rokprognozy=2021 i lp=210</v>
      </c>
      <c r="N30" s="37" t="str">
        <f t="shared" si="6"/>
        <v>rokprognozy=2022 i lp=210</v>
      </c>
      <c r="O30" s="37" t="str">
        <f t="shared" si="6"/>
        <v>rokprognozy=2023 i lp=210</v>
      </c>
      <c r="P30" s="37" t="str">
        <f t="shared" si="6"/>
        <v>rokprognozy=2024 i lp=210</v>
      </c>
      <c r="Q30" s="37" t="str">
        <f t="shared" si="6"/>
        <v>rokprognozy=2025 i lp=210</v>
      </c>
      <c r="R30" s="37" t="str">
        <f t="shared" si="6"/>
        <v>rokprognozy=2026 i lp=210</v>
      </c>
      <c r="S30" s="37" t="str">
        <f t="shared" si="6"/>
        <v>rokprognozy=2027 i lp=210</v>
      </c>
      <c r="T30" s="37" t="str">
        <f t="shared" si="6"/>
        <v>rokprognozy=2028 i lp=210</v>
      </c>
      <c r="U30" s="37" t="str">
        <f t="shared" si="6"/>
        <v>rokprognozy=2029 i lp=210</v>
      </c>
      <c r="V30" s="37" t="str">
        <f t="shared" si="6"/>
        <v>rokprognozy=2030 i lp=210</v>
      </c>
      <c r="W30" s="37" t="str">
        <f t="shared" si="6"/>
        <v>rokprognozy=2031 i lp=210</v>
      </c>
      <c r="X30" s="37" t="str">
        <f t="shared" si="6"/>
        <v>rokprognozy=2032 i lp=210</v>
      </c>
      <c r="Y30" s="37" t="str">
        <f t="shared" si="6"/>
        <v>rokprognozy=2033 i lp=210</v>
      </c>
      <c r="Z30" s="37" t="str">
        <f t="shared" si="6"/>
        <v>rokprognozy=2034 i lp=210</v>
      </c>
      <c r="AA30" s="37" t="str">
        <f t="shared" si="6"/>
        <v>rokprognozy=2035 i lp=210</v>
      </c>
      <c r="AB30" s="37" t="str">
        <f t="shared" si="6"/>
        <v>rokprognozy=2036 i lp=210</v>
      </c>
      <c r="AC30" s="37" t="str">
        <f t="shared" si="6"/>
        <v>rokprognozy=2037 i lp=210</v>
      </c>
      <c r="AD30" s="37" t="str">
        <f t="shared" si="7"/>
        <v>rokprognozy=2038 i lp=210</v>
      </c>
      <c r="AE30" s="37" t="str">
        <f t="shared" si="7"/>
        <v>rokprognozy=2039 i lp=210</v>
      </c>
      <c r="AF30" s="37" t="str">
        <f t="shared" si="7"/>
        <v>rokprognozy=2040 i lp=210</v>
      </c>
      <c r="AG30" s="37" t="str">
        <f t="shared" si="7"/>
        <v>rokprognozy=2041 i lp=210</v>
      </c>
      <c r="AH30" s="37" t="str">
        <f t="shared" si="7"/>
        <v>rokprognozy=2042 i lp=210</v>
      </c>
    </row>
    <row r="31" spans="1:34" ht="11.25">
      <c r="A31" s="36">
        <v>220</v>
      </c>
      <c r="B31" s="36">
        <v>4.1</v>
      </c>
      <c r="C31" s="37" t="s">
        <v>73</v>
      </c>
      <c r="D31" s="37" t="str">
        <f t="shared" si="3"/>
        <v>rokprognozy=2013 i lp=220</v>
      </c>
      <c r="E31" s="37" t="str">
        <f t="shared" si="4"/>
        <v>rokprognozy=2013 i lp=220</v>
      </c>
      <c r="F31" s="37" t="str">
        <f t="shared" si="4"/>
        <v>rokprognozy=2014 i lp=220</v>
      </c>
      <c r="G31" s="37" t="str">
        <f t="shared" si="4"/>
        <v>rokprognozy=2015 i lp=220</v>
      </c>
      <c r="H31" s="37" t="str">
        <f t="shared" si="4"/>
        <v>rokprognozy=2016 i lp=220</v>
      </c>
      <c r="I31" s="37" t="str">
        <f t="shared" si="4"/>
        <v>rokprognozy=2017 i lp=220</v>
      </c>
      <c r="J31" s="37" t="str">
        <f t="shared" si="4"/>
        <v>rokprognozy=2018 i lp=220</v>
      </c>
      <c r="K31" s="37" t="str">
        <f t="shared" si="4"/>
        <v>rokprognozy=2019 i lp=220</v>
      </c>
      <c r="L31" s="37" t="str">
        <f t="shared" si="4"/>
        <v>rokprognozy=2020 i lp=220</v>
      </c>
      <c r="M31" s="37" t="str">
        <f t="shared" si="4"/>
        <v>rokprognozy=2021 i lp=220</v>
      </c>
      <c r="N31" s="37" t="str">
        <f t="shared" si="6"/>
        <v>rokprognozy=2022 i lp=220</v>
      </c>
      <c r="O31" s="37" t="str">
        <f t="shared" si="6"/>
        <v>rokprognozy=2023 i lp=220</v>
      </c>
      <c r="P31" s="37" t="str">
        <f t="shared" si="6"/>
        <v>rokprognozy=2024 i lp=220</v>
      </c>
      <c r="Q31" s="37" t="str">
        <f t="shared" si="6"/>
        <v>rokprognozy=2025 i lp=220</v>
      </c>
      <c r="R31" s="37" t="str">
        <f t="shared" si="6"/>
        <v>rokprognozy=2026 i lp=220</v>
      </c>
      <c r="S31" s="37" t="str">
        <f t="shared" si="6"/>
        <v>rokprognozy=2027 i lp=220</v>
      </c>
      <c r="T31" s="37" t="str">
        <f t="shared" si="6"/>
        <v>rokprognozy=2028 i lp=220</v>
      </c>
      <c r="U31" s="37" t="str">
        <f t="shared" si="6"/>
        <v>rokprognozy=2029 i lp=220</v>
      </c>
      <c r="V31" s="37" t="str">
        <f t="shared" si="6"/>
        <v>rokprognozy=2030 i lp=220</v>
      </c>
      <c r="W31" s="37" t="str">
        <f t="shared" si="6"/>
        <v>rokprognozy=2031 i lp=220</v>
      </c>
      <c r="X31" s="37" t="str">
        <f t="shared" si="6"/>
        <v>rokprognozy=2032 i lp=220</v>
      </c>
      <c r="Y31" s="37" t="str">
        <f t="shared" si="6"/>
        <v>rokprognozy=2033 i lp=220</v>
      </c>
      <c r="Z31" s="37" t="str">
        <f t="shared" si="6"/>
        <v>rokprognozy=2034 i lp=220</v>
      </c>
      <c r="AA31" s="37" t="str">
        <f t="shared" si="6"/>
        <v>rokprognozy=2035 i lp=220</v>
      </c>
      <c r="AB31" s="37" t="str">
        <f t="shared" si="6"/>
        <v>rokprognozy=2036 i lp=220</v>
      </c>
      <c r="AC31" s="37" t="str">
        <f t="shared" si="6"/>
        <v>rokprognozy=2037 i lp=220</v>
      </c>
      <c r="AD31" s="37" t="str">
        <f t="shared" si="7"/>
        <v>rokprognozy=2038 i lp=220</v>
      </c>
      <c r="AE31" s="37" t="str">
        <f t="shared" si="7"/>
        <v>rokprognozy=2039 i lp=220</v>
      </c>
      <c r="AF31" s="37" t="str">
        <f t="shared" si="7"/>
        <v>rokprognozy=2040 i lp=220</v>
      </c>
      <c r="AG31" s="37" t="str">
        <f t="shared" si="7"/>
        <v>rokprognozy=2041 i lp=220</v>
      </c>
      <c r="AH31" s="37" t="str">
        <f t="shared" si="7"/>
        <v>rokprognozy=2042 i lp=220</v>
      </c>
    </row>
    <row r="32" spans="1:34" ht="11.25">
      <c r="A32" s="36">
        <v>230</v>
      </c>
      <c r="B32" s="36" t="s">
        <v>74</v>
      </c>
      <c r="C32" s="37" t="s">
        <v>75</v>
      </c>
      <c r="D32" s="37" t="str">
        <f t="shared" si="3"/>
        <v>rokprognozy=2013 i lp=230</v>
      </c>
      <c r="E32" s="37" t="str">
        <f t="shared" si="4"/>
        <v>rokprognozy=2013 i lp=230</v>
      </c>
      <c r="F32" s="37" t="str">
        <f t="shared" si="4"/>
        <v>rokprognozy=2014 i lp=230</v>
      </c>
      <c r="G32" s="37" t="str">
        <f t="shared" si="4"/>
        <v>rokprognozy=2015 i lp=230</v>
      </c>
      <c r="H32" s="37" t="str">
        <f t="shared" si="4"/>
        <v>rokprognozy=2016 i lp=230</v>
      </c>
      <c r="I32" s="37" t="str">
        <f t="shared" si="4"/>
        <v>rokprognozy=2017 i lp=230</v>
      </c>
      <c r="J32" s="37" t="str">
        <f t="shared" si="4"/>
        <v>rokprognozy=2018 i lp=230</v>
      </c>
      <c r="K32" s="37" t="str">
        <f t="shared" si="4"/>
        <v>rokprognozy=2019 i lp=230</v>
      </c>
      <c r="L32" s="37" t="str">
        <f t="shared" si="4"/>
        <v>rokprognozy=2020 i lp=230</v>
      </c>
      <c r="M32" s="37" t="str">
        <f t="shared" si="4"/>
        <v>rokprognozy=2021 i lp=230</v>
      </c>
      <c r="N32" s="37" t="str">
        <f t="shared" si="6"/>
        <v>rokprognozy=2022 i lp=230</v>
      </c>
      <c r="O32" s="37" t="str">
        <f t="shared" si="6"/>
        <v>rokprognozy=2023 i lp=230</v>
      </c>
      <c r="P32" s="37" t="str">
        <f t="shared" si="6"/>
        <v>rokprognozy=2024 i lp=230</v>
      </c>
      <c r="Q32" s="37" t="str">
        <f t="shared" si="6"/>
        <v>rokprognozy=2025 i lp=230</v>
      </c>
      <c r="R32" s="37" t="str">
        <f t="shared" si="6"/>
        <v>rokprognozy=2026 i lp=230</v>
      </c>
      <c r="S32" s="37" t="str">
        <f t="shared" si="6"/>
        <v>rokprognozy=2027 i lp=230</v>
      </c>
      <c r="T32" s="37" t="str">
        <f t="shared" si="6"/>
        <v>rokprognozy=2028 i lp=230</v>
      </c>
      <c r="U32" s="37" t="str">
        <f t="shared" si="6"/>
        <v>rokprognozy=2029 i lp=230</v>
      </c>
      <c r="V32" s="37" t="str">
        <f t="shared" si="6"/>
        <v>rokprognozy=2030 i lp=230</v>
      </c>
      <c r="W32" s="37" t="str">
        <f t="shared" si="6"/>
        <v>rokprognozy=2031 i lp=230</v>
      </c>
      <c r="X32" s="37" t="str">
        <f t="shared" si="6"/>
        <v>rokprognozy=2032 i lp=230</v>
      </c>
      <c r="Y32" s="37" t="str">
        <f t="shared" si="6"/>
        <v>rokprognozy=2033 i lp=230</v>
      </c>
      <c r="Z32" s="37" t="str">
        <f t="shared" si="6"/>
        <v>rokprognozy=2034 i lp=230</v>
      </c>
      <c r="AA32" s="37" t="str">
        <f t="shared" si="6"/>
        <v>rokprognozy=2035 i lp=230</v>
      </c>
      <c r="AB32" s="37" t="str">
        <f t="shared" si="6"/>
        <v>rokprognozy=2036 i lp=230</v>
      </c>
      <c r="AC32" s="37" t="str">
        <f t="shared" si="6"/>
        <v>rokprognozy=2037 i lp=230</v>
      </c>
      <c r="AD32" s="37" t="str">
        <f t="shared" si="7"/>
        <v>rokprognozy=2038 i lp=230</v>
      </c>
      <c r="AE32" s="37" t="str">
        <f t="shared" si="7"/>
        <v>rokprognozy=2039 i lp=230</v>
      </c>
      <c r="AF32" s="37" t="str">
        <f t="shared" si="7"/>
        <v>rokprognozy=2040 i lp=230</v>
      </c>
      <c r="AG32" s="37" t="str">
        <f t="shared" si="7"/>
        <v>rokprognozy=2041 i lp=230</v>
      </c>
      <c r="AH32" s="37" t="str">
        <f t="shared" si="7"/>
        <v>rokprognozy=2042 i lp=230</v>
      </c>
    </row>
    <row r="33" spans="1:34" ht="11.25">
      <c r="A33" s="36">
        <v>240</v>
      </c>
      <c r="B33" s="36">
        <v>4.2</v>
      </c>
      <c r="C33" s="37" t="s">
        <v>76</v>
      </c>
      <c r="D33" s="37" t="str">
        <f t="shared" si="3"/>
        <v>rokprognozy=2013 i lp=240</v>
      </c>
      <c r="E33" s="37" t="str">
        <f t="shared" si="4"/>
        <v>rokprognozy=2013 i lp=240</v>
      </c>
      <c r="F33" s="37" t="str">
        <f t="shared" si="4"/>
        <v>rokprognozy=2014 i lp=240</v>
      </c>
      <c r="G33" s="37" t="str">
        <f t="shared" si="4"/>
        <v>rokprognozy=2015 i lp=240</v>
      </c>
      <c r="H33" s="37" t="str">
        <f t="shared" si="4"/>
        <v>rokprognozy=2016 i lp=240</v>
      </c>
      <c r="I33" s="37" t="str">
        <f t="shared" si="4"/>
        <v>rokprognozy=2017 i lp=240</v>
      </c>
      <c r="J33" s="37" t="str">
        <f t="shared" si="4"/>
        <v>rokprognozy=2018 i lp=240</v>
      </c>
      <c r="K33" s="37" t="str">
        <f t="shared" si="4"/>
        <v>rokprognozy=2019 i lp=240</v>
      </c>
      <c r="L33" s="37" t="str">
        <f t="shared" si="4"/>
        <v>rokprognozy=2020 i lp=240</v>
      </c>
      <c r="M33" s="37" t="str">
        <f t="shared" si="4"/>
        <v>rokprognozy=2021 i lp=240</v>
      </c>
      <c r="N33" s="37" t="str">
        <f t="shared" si="6"/>
        <v>rokprognozy=2022 i lp=240</v>
      </c>
      <c r="O33" s="37" t="str">
        <f t="shared" si="6"/>
        <v>rokprognozy=2023 i lp=240</v>
      </c>
      <c r="P33" s="37" t="str">
        <f t="shared" si="6"/>
        <v>rokprognozy=2024 i lp=240</v>
      </c>
      <c r="Q33" s="37" t="str">
        <f t="shared" si="6"/>
        <v>rokprognozy=2025 i lp=240</v>
      </c>
      <c r="R33" s="37" t="str">
        <f t="shared" si="6"/>
        <v>rokprognozy=2026 i lp=240</v>
      </c>
      <c r="S33" s="37" t="str">
        <f t="shared" si="6"/>
        <v>rokprognozy=2027 i lp=240</v>
      </c>
      <c r="T33" s="37" t="str">
        <f t="shared" si="6"/>
        <v>rokprognozy=2028 i lp=240</v>
      </c>
      <c r="U33" s="37" t="str">
        <f t="shared" si="6"/>
        <v>rokprognozy=2029 i lp=240</v>
      </c>
      <c r="V33" s="37" t="str">
        <f t="shared" si="6"/>
        <v>rokprognozy=2030 i lp=240</v>
      </c>
      <c r="W33" s="37" t="str">
        <f t="shared" si="6"/>
        <v>rokprognozy=2031 i lp=240</v>
      </c>
      <c r="X33" s="37" t="str">
        <f t="shared" si="6"/>
        <v>rokprognozy=2032 i lp=240</v>
      </c>
      <c r="Y33" s="37" t="str">
        <f t="shared" si="6"/>
        <v>rokprognozy=2033 i lp=240</v>
      </c>
      <c r="Z33" s="37" t="str">
        <f t="shared" si="6"/>
        <v>rokprognozy=2034 i lp=240</v>
      </c>
      <c r="AA33" s="37" t="str">
        <f t="shared" si="6"/>
        <v>rokprognozy=2035 i lp=240</v>
      </c>
      <c r="AB33" s="37" t="str">
        <f t="shared" si="6"/>
        <v>rokprognozy=2036 i lp=240</v>
      </c>
      <c r="AC33" s="37" t="str">
        <f t="shared" si="6"/>
        <v>rokprognozy=2037 i lp=240</v>
      </c>
      <c r="AD33" s="37" t="str">
        <f t="shared" si="7"/>
        <v>rokprognozy=2038 i lp=240</v>
      </c>
      <c r="AE33" s="37" t="str">
        <f t="shared" si="7"/>
        <v>rokprognozy=2039 i lp=240</v>
      </c>
      <c r="AF33" s="37" t="str">
        <f t="shared" si="7"/>
        <v>rokprognozy=2040 i lp=240</v>
      </c>
      <c r="AG33" s="37" t="str">
        <f t="shared" si="7"/>
        <v>rokprognozy=2041 i lp=240</v>
      </c>
      <c r="AH33" s="37" t="str">
        <f t="shared" si="7"/>
        <v>rokprognozy=2042 i lp=240</v>
      </c>
    </row>
    <row r="34" spans="1:34" ht="11.25">
      <c r="A34" s="36">
        <v>250</v>
      </c>
      <c r="B34" s="36" t="s">
        <v>77</v>
      </c>
      <c r="C34" s="37" t="s">
        <v>78</v>
      </c>
      <c r="D34" s="37" t="str">
        <f t="shared" si="3"/>
        <v>rokprognozy=2013 i lp=250</v>
      </c>
      <c r="E34" s="37" t="str">
        <f t="shared" si="4"/>
        <v>rokprognozy=2013 i lp=250</v>
      </c>
      <c r="F34" s="37" t="str">
        <f t="shared" si="4"/>
        <v>rokprognozy=2014 i lp=250</v>
      </c>
      <c r="G34" s="37" t="str">
        <f t="shared" si="4"/>
        <v>rokprognozy=2015 i lp=250</v>
      </c>
      <c r="H34" s="37" t="str">
        <f t="shared" si="4"/>
        <v>rokprognozy=2016 i lp=250</v>
      </c>
      <c r="I34" s="37" t="str">
        <f t="shared" si="4"/>
        <v>rokprognozy=2017 i lp=250</v>
      </c>
      <c r="J34" s="37" t="str">
        <f t="shared" si="4"/>
        <v>rokprognozy=2018 i lp=250</v>
      </c>
      <c r="K34" s="37" t="str">
        <f t="shared" si="4"/>
        <v>rokprognozy=2019 i lp=250</v>
      </c>
      <c r="L34" s="37" t="str">
        <f t="shared" si="4"/>
        <v>rokprognozy=2020 i lp=250</v>
      </c>
      <c r="M34" s="37" t="str">
        <f t="shared" si="4"/>
        <v>rokprognozy=2021 i lp=250</v>
      </c>
      <c r="N34" s="37" t="str">
        <f t="shared" si="6"/>
        <v>rokprognozy=2022 i lp=250</v>
      </c>
      <c r="O34" s="37" t="str">
        <f t="shared" si="6"/>
        <v>rokprognozy=2023 i lp=250</v>
      </c>
      <c r="P34" s="37" t="str">
        <f t="shared" si="6"/>
        <v>rokprognozy=2024 i lp=250</v>
      </c>
      <c r="Q34" s="37" t="str">
        <f t="shared" si="6"/>
        <v>rokprognozy=2025 i lp=250</v>
      </c>
      <c r="R34" s="37" t="str">
        <f t="shared" si="6"/>
        <v>rokprognozy=2026 i lp=250</v>
      </c>
      <c r="S34" s="37" t="str">
        <f t="shared" si="6"/>
        <v>rokprognozy=2027 i lp=250</v>
      </c>
      <c r="T34" s="37" t="str">
        <f t="shared" si="6"/>
        <v>rokprognozy=2028 i lp=250</v>
      </c>
      <c r="U34" s="37" t="str">
        <f t="shared" si="6"/>
        <v>rokprognozy=2029 i lp=250</v>
      </c>
      <c r="V34" s="37" t="str">
        <f t="shared" si="6"/>
        <v>rokprognozy=2030 i lp=250</v>
      </c>
      <c r="W34" s="37" t="str">
        <f t="shared" si="6"/>
        <v>rokprognozy=2031 i lp=250</v>
      </c>
      <c r="X34" s="37" t="str">
        <f t="shared" si="6"/>
        <v>rokprognozy=2032 i lp=250</v>
      </c>
      <c r="Y34" s="37" t="str">
        <f t="shared" si="6"/>
        <v>rokprognozy=2033 i lp=250</v>
      </c>
      <c r="Z34" s="37" t="str">
        <f t="shared" si="6"/>
        <v>rokprognozy=2034 i lp=250</v>
      </c>
      <c r="AA34" s="37" t="str">
        <f t="shared" si="6"/>
        <v>rokprognozy=2035 i lp=250</v>
      </c>
      <c r="AB34" s="37" t="str">
        <f t="shared" si="6"/>
        <v>rokprognozy=2036 i lp=250</v>
      </c>
      <c r="AC34" s="37" t="str">
        <f t="shared" si="6"/>
        <v>rokprognozy=2037 i lp=250</v>
      </c>
      <c r="AD34" s="37" t="str">
        <f t="shared" si="7"/>
        <v>rokprognozy=2038 i lp=250</v>
      </c>
      <c r="AE34" s="37" t="str">
        <f t="shared" si="7"/>
        <v>rokprognozy=2039 i lp=250</v>
      </c>
      <c r="AF34" s="37" t="str">
        <f t="shared" si="7"/>
        <v>rokprognozy=2040 i lp=250</v>
      </c>
      <c r="AG34" s="37" t="str">
        <f t="shared" si="7"/>
        <v>rokprognozy=2041 i lp=250</v>
      </c>
      <c r="AH34" s="37" t="str">
        <f t="shared" si="7"/>
        <v>rokprognozy=2042 i lp=250</v>
      </c>
    </row>
    <row r="35" spans="1:34" ht="11.25">
      <c r="A35" s="36">
        <v>260</v>
      </c>
      <c r="B35" s="36">
        <v>4.3</v>
      </c>
      <c r="C35" s="37" t="s">
        <v>79</v>
      </c>
      <c r="D35" s="37" t="str">
        <f t="shared" si="3"/>
        <v>rokprognozy=2013 i lp=260</v>
      </c>
      <c r="E35" s="37" t="str">
        <f t="shared" si="4"/>
        <v>rokprognozy=2013 i lp=260</v>
      </c>
      <c r="F35" s="37" t="str">
        <f t="shared" si="4"/>
        <v>rokprognozy=2014 i lp=260</v>
      </c>
      <c r="G35" s="37" t="str">
        <f t="shared" si="4"/>
        <v>rokprognozy=2015 i lp=260</v>
      </c>
      <c r="H35" s="37" t="str">
        <f t="shared" si="4"/>
        <v>rokprognozy=2016 i lp=260</v>
      </c>
      <c r="I35" s="37" t="str">
        <f t="shared" si="4"/>
        <v>rokprognozy=2017 i lp=260</v>
      </c>
      <c r="J35" s="37" t="str">
        <f t="shared" si="4"/>
        <v>rokprognozy=2018 i lp=260</v>
      </c>
      <c r="K35" s="37" t="str">
        <f t="shared" si="4"/>
        <v>rokprognozy=2019 i lp=260</v>
      </c>
      <c r="L35" s="37" t="str">
        <f t="shared" si="4"/>
        <v>rokprognozy=2020 i lp=260</v>
      </c>
      <c r="M35" s="37" t="str">
        <f t="shared" si="4"/>
        <v>rokprognozy=2021 i lp=260</v>
      </c>
      <c r="N35" s="37" t="str">
        <f t="shared" si="6"/>
        <v>rokprognozy=2022 i lp=260</v>
      </c>
      <c r="O35" s="37" t="str">
        <f t="shared" si="6"/>
        <v>rokprognozy=2023 i lp=260</v>
      </c>
      <c r="P35" s="37" t="str">
        <f t="shared" si="6"/>
        <v>rokprognozy=2024 i lp=260</v>
      </c>
      <c r="Q35" s="37" t="str">
        <f t="shared" si="6"/>
        <v>rokprognozy=2025 i lp=260</v>
      </c>
      <c r="R35" s="37" t="str">
        <f t="shared" si="6"/>
        <v>rokprognozy=2026 i lp=260</v>
      </c>
      <c r="S35" s="37" t="str">
        <f t="shared" si="6"/>
        <v>rokprognozy=2027 i lp=260</v>
      </c>
      <c r="T35" s="37" t="str">
        <f t="shared" si="6"/>
        <v>rokprognozy=2028 i lp=260</v>
      </c>
      <c r="U35" s="37" t="str">
        <f t="shared" si="6"/>
        <v>rokprognozy=2029 i lp=260</v>
      </c>
      <c r="V35" s="37" t="str">
        <f t="shared" si="6"/>
        <v>rokprognozy=2030 i lp=260</v>
      </c>
      <c r="W35" s="37" t="str">
        <f t="shared" si="6"/>
        <v>rokprognozy=2031 i lp=260</v>
      </c>
      <c r="X35" s="37" t="str">
        <f t="shared" si="6"/>
        <v>rokprognozy=2032 i lp=260</v>
      </c>
      <c r="Y35" s="37" t="str">
        <f t="shared" si="6"/>
        <v>rokprognozy=2033 i lp=260</v>
      </c>
      <c r="Z35" s="37" t="str">
        <f t="shared" si="6"/>
        <v>rokprognozy=2034 i lp=260</v>
      </c>
      <c r="AA35" s="37" t="str">
        <f t="shared" si="6"/>
        <v>rokprognozy=2035 i lp=260</v>
      </c>
      <c r="AB35" s="37" t="str">
        <f t="shared" si="6"/>
        <v>rokprognozy=2036 i lp=260</v>
      </c>
      <c r="AC35" s="37" t="str">
        <f t="shared" si="6"/>
        <v>rokprognozy=2037 i lp=260</v>
      </c>
      <c r="AD35" s="37" t="str">
        <f t="shared" si="7"/>
        <v>rokprognozy=2038 i lp=260</v>
      </c>
      <c r="AE35" s="37" t="str">
        <f t="shared" si="7"/>
        <v>rokprognozy=2039 i lp=260</v>
      </c>
      <c r="AF35" s="37" t="str">
        <f t="shared" si="7"/>
        <v>rokprognozy=2040 i lp=260</v>
      </c>
      <c r="AG35" s="37" t="str">
        <f t="shared" si="7"/>
        <v>rokprognozy=2041 i lp=260</v>
      </c>
      <c r="AH35" s="37" t="str">
        <f t="shared" si="7"/>
        <v>rokprognozy=2042 i lp=260</v>
      </c>
    </row>
    <row r="36" spans="1:34" ht="11.25">
      <c r="A36" s="36">
        <v>270</v>
      </c>
      <c r="B36" s="36" t="s">
        <v>80</v>
      </c>
      <c r="C36" s="37" t="s">
        <v>78</v>
      </c>
      <c r="D36" s="37" t="str">
        <f t="shared" si="3"/>
        <v>rokprognozy=2013 i lp=270</v>
      </c>
      <c r="E36" s="37" t="str">
        <f t="shared" si="4"/>
        <v>rokprognozy=2013 i lp=270</v>
      </c>
      <c r="F36" s="37" t="str">
        <f t="shared" si="4"/>
        <v>rokprognozy=2014 i lp=270</v>
      </c>
      <c r="G36" s="37" t="str">
        <f t="shared" si="4"/>
        <v>rokprognozy=2015 i lp=270</v>
      </c>
      <c r="H36" s="37" t="str">
        <f aca="true" t="shared" si="8" ref="E36:T51">+"rokprognozy="&amp;H$9&amp;" i lp="&amp;$A36</f>
        <v>rokprognozy=2016 i lp=270</v>
      </c>
      <c r="I36" s="37" t="str">
        <f t="shared" si="8"/>
        <v>rokprognozy=2017 i lp=270</v>
      </c>
      <c r="J36" s="37" t="str">
        <f t="shared" si="8"/>
        <v>rokprognozy=2018 i lp=270</v>
      </c>
      <c r="K36" s="37" t="str">
        <f t="shared" si="8"/>
        <v>rokprognozy=2019 i lp=270</v>
      </c>
      <c r="L36" s="37" t="str">
        <f t="shared" si="8"/>
        <v>rokprognozy=2020 i lp=270</v>
      </c>
      <c r="M36" s="37" t="str">
        <f t="shared" si="8"/>
        <v>rokprognozy=2021 i lp=270</v>
      </c>
      <c r="N36" s="37" t="str">
        <f t="shared" si="6"/>
        <v>rokprognozy=2022 i lp=270</v>
      </c>
      <c r="O36" s="37" t="str">
        <f t="shared" si="6"/>
        <v>rokprognozy=2023 i lp=270</v>
      </c>
      <c r="P36" s="37" t="str">
        <f t="shared" si="6"/>
        <v>rokprognozy=2024 i lp=270</v>
      </c>
      <c r="Q36" s="37" t="str">
        <f t="shared" si="6"/>
        <v>rokprognozy=2025 i lp=270</v>
      </c>
      <c r="R36" s="37" t="str">
        <f t="shared" si="6"/>
        <v>rokprognozy=2026 i lp=270</v>
      </c>
      <c r="S36" s="37" t="str">
        <f t="shared" si="6"/>
        <v>rokprognozy=2027 i lp=270</v>
      </c>
      <c r="T36" s="37" t="str">
        <f t="shared" si="6"/>
        <v>rokprognozy=2028 i lp=270</v>
      </c>
      <c r="U36" s="37" t="str">
        <f t="shared" si="6"/>
        <v>rokprognozy=2029 i lp=270</v>
      </c>
      <c r="V36" s="37" t="str">
        <f t="shared" si="6"/>
        <v>rokprognozy=2030 i lp=270</v>
      </c>
      <c r="W36" s="37" t="str">
        <f t="shared" si="6"/>
        <v>rokprognozy=2031 i lp=270</v>
      </c>
      <c r="X36" s="37" t="str">
        <f t="shared" si="6"/>
        <v>rokprognozy=2032 i lp=270</v>
      </c>
      <c r="Y36" s="37" t="str">
        <f t="shared" si="6"/>
        <v>rokprognozy=2033 i lp=270</v>
      </c>
      <c r="Z36" s="37" t="str">
        <f t="shared" si="6"/>
        <v>rokprognozy=2034 i lp=270</v>
      </c>
      <c r="AA36" s="37" t="str">
        <f t="shared" si="6"/>
        <v>rokprognozy=2035 i lp=270</v>
      </c>
      <c r="AB36" s="37" t="str">
        <f t="shared" si="6"/>
        <v>rokprognozy=2036 i lp=270</v>
      </c>
      <c r="AC36" s="37" t="str">
        <f t="shared" si="6"/>
        <v>rokprognozy=2037 i lp=270</v>
      </c>
      <c r="AD36" s="37" t="str">
        <f t="shared" si="7"/>
        <v>rokprognozy=2038 i lp=270</v>
      </c>
      <c r="AE36" s="37" t="str">
        <f t="shared" si="7"/>
        <v>rokprognozy=2039 i lp=270</v>
      </c>
      <c r="AF36" s="37" t="str">
        <f t="shared" si="7"/>
        <v>rokprognozy=2040 i lp=270</v>
      </c>
      <c r="AG36" s="37" t="str">
        <f t="shared" si="7"/>
        <v>rokprognozy=2041 i lp=270</v>
      </c>
      <c r="AH36" s="37" t="str">
        <f t="shared" si="7"/>
        <v>rokprognozy=2042 i lp=270</v>
      </c>
    </row>
    <row r="37" spans="1:34" ht="11.25">
      <c r="A37" s="36">
        <v>280</v>
      </c>
      <c r="B37" s="36">
        <v>4.4</v>
      </c>
      <c r="C37" s="37" t="s">
        <v>81</v>
      </c>
      <c r="D37" s="37" t="str">
        <f t="shared" si="3"/>
        <v>rokprognozy=2013 i lp=280</v>
      </c>
      <c r="E37" s="37" t="str">
        <f t="shared" si="8"/>
        <v>rokprognozy=2013 i lp=280</v>
      </c>
      <c r="F37" s="37" t="str">
        <f t="shared" si="8"/>
        <v>rokprognozy=2014 i lp=280</v>
      </c>
      <c r="G37" s="37" t="str">
        <f t="shared" si="8"/>
        <v>rokprognozy=2015 i lp=280</v>
      </c>
      <c r="H37" s="37" t="str">
        <f t="shared" si="8"/>
        <v>rokprognozy=2016 i lp=280</v>
      </c>
      <c r="I37" s="37" t="str">
        <f t="shared" si="8"/>
        <v>rokprognozy=2017 i lp=280</v>
      </c>
      <c r="J37" s="37" t="str">
        <f t="shared" si="8"/>
        <v>rokprognozy=2018 i lp=280</v>
      </c>
      <c r="K37" s="37" t="str">
        <f t="shared" si="8"/>
        <v>rokprognozy=2019 i lp=280</v>
      </c>
      <c r="L37" s="37" t="str">
        <f t="shared" si="8"/>
        <v>rokprognozy=2020 i lp=280</v>
      </c>
      <c r="M37" s="37" t="str">
        <f t="shared" si="8"/>
        <v>rokprognozy=2021 i lp=280</v>
      </c>
      <c r="N37" s="37" t="str">
        <f t="shared" si="6"/>
        <v>rokprognozy=2022 i lp=280</v>
      </c>
      <c r="O37" s="37" t="str">
        <f t="shared" si="6"/>
        <v>rokprognozy=2023 i lp=280</v>
      </c>
      <c r="P37" s="37" t="str">
        <f t="shared" si="6"/>
        <v>rokprognozy=2024 i lp=280</v>
      </c>
      <c r="Q37" s="37" t="str">
        <f t="shared" si="6"/>
        <v>rokprognozy=2025 i lp=280</v>
      </c>
      <c r="R37" s="37" t="str">
        <f t="shared" si="6"/>
        <v>rokprognozy=2026 i lp=280</v>
      </c>
      <c r="S37" s="37" t="str">
        <f t="shared" si="6"/>
        <v>rokprognozy=2027 i lp=280</v>
      </c>
      <c r="T37" s="37" t="str">
        <f t="shared" si="6"/>
        <v>rokprognozy=2028 i lp=280</v>
      </c>
      <c r="U37" s="37" t="str">
        <f t="shared" si="6"/>
        <v>rokprognozy=2029 i lp=280</v>
      </c>
      <c r="V37" s="37" t="str">
        <f t="shared" si="6"/>
        <v>rokprognozy=2030 i lp=280</v>
      </c>
      <c r="W37" s="37" t="str">
        <f t="shared" si="6"/>
        <v>rokprognozy=2031 i lp=280</v>
      </c>
      <c r="X37" s="37" t="str">
        <f t="shared" si="6"/>
        <v>rokprognozy=2032 i lp=280</v>
      </c>
      <c r="Y37" s="37" t="str">
        <f t="shared" si="6"/>
        <v>rokprognozy=2033 i lp=280</v>
      </c>
      <c r="Z37" s="37" t="str">
        <f t="shared" si="6"/>
        <v>rokprognozy=2034 i lp=280</v>
      </c>
      <c r="AA37" s="37" t="str">
        <f t="shared" si="6"/>
        <v>rokprognozy=2035 i lp=280</v>
      </c>
      <c r="AB37" s="37" t="str">
        <f t="shared" si="6"/>
        <v>rokprognozy=2036 i lp=280</v>
      </c>
      <c r="AC37" s="37" t="str">
        <f t="shared" si="6"/>
        <v>rokprognozy=2037 i lp=280</v>
      </c>
      <c r="AD37" s="37" t="str">
        <f t="shared" si="7"/>
        <v>rokprognozy=2038 i lp=280</v>
      </c>
      <c r="AE37" s="37" t="str">
        <f t="shared" si="7"/>
        <v>rokprognozy=2039 i lp=280</v>
      </c>
      <c r="AF37" s="37" t="str">
        <f t="shared" si="7"/>
        <v>rokprognozy=2040 i lp=280</v>
      </c>
      <c r="AG37" s="37" t="str">
        <f t="shared" si="7"/>
        <v>rokprognozy=2041 i lp=280</v>
      </c>
      <c r="AH37" s="37" t="str">
        <f t="shared" si="7"/>
        <v>rokprognozy=2042 i lp=280</v>
      </c>
    </row>
    <row r="38" spans="1:34" ht="11.25">
      <c r="A38" s="36">
        <v>290</v>
      </c>
      <c r="B38" s="36" t="s">
        <v>82</v>
      </c>
      <c r="C38" s="37" t="s">
        <v>78</v>
      </c>
      <c r="D38" s="37" t="str">
        <f t="shared" si="3"/>
        <v>rokprognozy=2013 i lp=290</v>
      </c>
      <c r="E38" s="37" t="str">
        <f t="shared" si="8"/>
        <v>rokprognozy=2013 i lp=290</v>
      </c>
      <c r="F38" s="37" t="str">
        <f t="shared" si="8"/>
        <v>rokprognozy=2014 i lp=290</v>
      </c>
      <c r="G38" s="37" t="str">
        <f t="shared" si="8"/>
        <v>rokprognozy=2015 i lp=290</v>
      </c>
      <c r="H38" s="37" t="str">
        <f t="shared" si="8"/>
        <v>rokprognozy=2016 i lp=290</v>
      </c>
      <c r="I38" s="37" t="str">
        <f t="shared" si="8"/>
        <v>rokprognozy=2017 i lp=290</v>
      </c>
      <c r="J38" s="37" t="str">
        <f t="shared" si="8"/>
        <v>rokprognozy=2018 i lp=290</v>
      </c>
      <c r="K38" s="37" t="str">
        <f t="shared" si="8"/>
        <v>rokprognozy=2019 i lp=290</v>
      </c>
      <c r="L38" s="37" t="str">
        <f t="shared" si="8"/>
        <v>rokprognozy=2020 i lp=290</v>
      </c>
      <c r="M38" s="37" t="str">
        <f t="shared" si="8"/>
        <v>rokprognozy=2021 i lp=290</v>
      </c>
      <c r="N38" s="37" t="str">
        <f t="shared" si="6"/>
        <v>rokprognozy=2022 i lp=290</v>
      </c>
      <c r="O38" s="37" t="str">
        <f t="shared" si="6"/>
        <v>rokprognozy=2023 i lp=290</v>
      </c>
      <c r="P38" s="37" t="str">
        <f t="shared" si="6"/>
        <v>rokprognozy=2024 i lp=290</v>
      </c>
      <c r="Q38" s="37" t="str">
        <f t="shared" si="6"/>
        <v>rokprognozy=2025 i lp=290</v>
      </c>
      <c r="R38" s="37" t="str">
        <f t="shared" si="6"/>
        <v>rokprognozy=2026 i lp=290</v>
      </c>
      <c r="S38" s="37" t="str">
        <f t="shared" si="6"/>
        <v>rokprognozy=2027 i lp=290</v>
      </c>
      <c r="T38" s="37" t="str">
        <f t="shared" si="6"/>
        <v>rokprognozy=2028 i lp=290</v>
      </c>
      <c r="U38" s="37" t="str">
        <f t="shared" si="6"/>
        <v>rokprognozy=2029 i lp=290</v>
      </c>
      <c r="V38" s="37" t="str">
        <f t="shared" si="6"/>
        <v>rokprognozy=2030 i lp=290</v>
      </c>
      <c r="W38" s="37" t="str">
        <f t="shared" si="6"/>
        <v>rokprognozy=2031 i lp=290</v>
      </c>
      <c r="X38" s="37" t="str">
        <f t="shared" si="6"/>
        <v>rokprognozy=2032 i lp=290</v>
      </c>
      <c r="Y38" s="37" t="str">
        <f t="shared" si="6"/>
        <v>rokprognozy=2033 i lp=290</v>
      </c>
      <c r="Z38" s="37" t="str">
        <f t="shared" si="6"/>
        <v>rokprognozy=2034 i lp=290</v>
      </c>
      <c r="AA38" s="37" t="str">
        <f t="shared" si="6"/>
        <v>rokprognozy=2035 i lp=290</v>
      </c>
      <c r="AB38" s="37" t="str">
        <f t="shared" si="6"/>
        <v>rokprognozy=2036 i lp=290</v>
      </c>
      <c r="AC38" s="37" t="str">
        <f>+"rokprognozy="&amp;AC$9&amp;" i lp="&amp;$A38</f>
        <v>rokprognozy=2037 i lp=290</v>
      </c>
      <c r="AD38" s="37" t="str">
        <f t="shared" si="7"/>
        <v>rokprognozy=2038 i lp=290</v>
      </c>
      <c r="AE38" s="37" t="str">
        <f t="shared" si="7"/>
        <v>rokprognozy=2039 i lp=290</v>
      </c>
      <c r="AF38" s="37" t="str">
        <f t="shared" si="7"/>
        <v>rokprognozy=2040 i lp=290</v>
      </c>
      <c r="AG38" s="37" t="str">
        <f t="shared" si="7"/>
        <v>rokprognozy=2041 i lp=290</v>
      </c>
      <c r="AH38" s="37" t="str">
        <f t="shared" si="7"/>
        <v>rokprognozy=2042 i lp=290</v>
      </c>
    </row>
    <row r="39" spans="1:34" ht="11.25">
      <c r="A39" s="36">
        <v>300</v>
      </c>
      <c r="B39" s="36">
        <v>5</v>
      </c>
      <c r="C39" s="37" t="s">
        <v>83</v>
      </c>
      <c r="D39" s="37" t="str">
        <f t="shared" si="3"/>
        <v>rokprognozy=2013 i lp=300</v>
      </c>
      <c r="E39" s="37" t="str">
        <f t="shared" si="8"/>
        <v>rokprognozy=2013 i lp=300</v>
      </c>
      <c r="F39" s="37" t="str">
        <f t="shared" si="8"/>
        <v>rokprognozy=2014 i lp=300</v>
      </c>
      <c r="G39" s="37" t="str">
        <f t="shared" si="8"/>
        <v>rokprognozy=2015 i lp=300</v>
      </c>
      <c r="H39" s="37" t="str">
        <f t="shared" si="8"/>
        <v>rokprognozy=2016 i lp=300</v>
      </c>
      <c r="I39" s="37" t="str">
        <f t="shared" si="8"/>
        <v>rokprognozy=2017 i lp=300</v>
      </c>
      <c r="J39" s="37" t="str">
        <f t="shared" si="8"/>
        <v>rokprognozy=2018 i lp=300</v>
      </c>
      <c r="K39" s="37" t="str">
        <f t="shared" si="8"/>
        <v>rokprognozy=2019 i lp=300</v>
      </c>
      <c r="L39" s="37" t="str">
        <f t="shared" si="8"/>
        <v>rokprognozy=2020 i lp=300</v>
      </c>
      <c r="M39" s="37" t="str">
        <f t="shared" si="8"/>
        <v>rokprognozy=2021 i lp=300</v>
      </c>
      <c r="N39" s="37" t="str">
        <f t="shared" si="8"/>
        <v>rokprognozy=2022 i lp=300</v>
      </c>
      <c r="O39" s="37" t="str">
        <f t="shared" si="8"/>
        <v>rokprognozy=2023 i lp=300</v>
      </c>
      <c r="P39" s="37" t="str">
        <f t="shared" si="8"/>
        <v>rokprognozy=2024 i lp=300</v>
      </c>
      <c r="Q39" s="37" t="str">
        <f t="shared" si="8"/>
        <v>rokprognozy=2025 i lp=300</v>
      </c>
      <c r="R39" s="37" t="str">
        <f t="shared" si="8"/>
        <v>rokprognozy=2026 i lp=300</v>
      </c>
      <c r="S39" s="37" t="str">
        <f t="shared" si="8"/>
        <v>rokprognozy=2027 i lp=300</v>
      </c>
      <c r="T39" s="37" t="str">
        <f t="shared" si="8"/>
        <v>rokprognozy=2028 i lp=300</v>
      </c>
      <c r="U39" s="37" t="str">
        <f aca="true" t="shared" si="9" ref="N39:AC55">+"rokprognozy="&amp;U$9&amp;" i lp="&amp;$A39</f>
        <v>rokprognozy=2029 i lp=300</v>
      </c>
      <c r="V39" s="37" t="str">
        <f t="shared" si="9"/>
        <v>rokprognozy=2030 i lp=300</v>
      </c>
      <c r="W39" s="37" t="str">
        <f t="shared" si="9"/>
        <v>rokprognozy=2031 i lp=300</v>
      </c>
      <c r="X39" s="37" t="str">
        <f t="shared" si="9"/>
        <v>rokprognozy=2032 i lp=300</v>
      </c>
      <c r="Y39" s="37" t="str">
        <f t="shared" si="9"/>
        <v>rokprognozy=2033 i lp=300</v>
      </c>
      <c r="Z39" s="37" t="str">
        <f t="shared" si="9"/>
        <v>rokprognozy=2034 i lp=300</v>
      </c>
      <c r="AA39" s="37" t="str">
        <f t="shared" si="9"/>
        <v>rokprognozy=2035 i lp=300</v>
      </c>
      <c r="AB39" s="37" t="str">
        <f t="shared" si="9"/>
        <v>rokprognozy=2036 i lp=300</v>
      </c>
      <c r="AC39" s="37" t="str">
        <f t="shared" si="9"/>
        <v>rokprognozy=2037 i lp=300</v>
      </c>
      <c r="AD39" s="37" t="str">
        <f t="shared" si="7"/>
        <v>rokprognozy=2038 i lp=300</v>
      </c>
      <c r="AE39" s="37" t="str">
        <f t="shared" si="7"/>
        <v>rokprognozy=2039 i lp=300</v>
      </c>
      <c r="AF39" s="37" t="str">
        <f t="shared" si="7"/>
        <v>rokprognozy=2040 i lp=300</v>
      </c>
      <c r="AG39" s="37" t="str">
        <f t="shared" si="7"/>
        <v>rokprognozy=2041 i lp=300</v>
      </c>
      <c r="AH39" s="37" t="str">
        <f t="shared" si="7"/>
        <v>rokprognozy=2042 i lp=300</v>
      </c>
    </row>
    <row r="40" spans="1:34" ht="11.25">
      <c r="A40" s="36">
        <v>310</v>
      </c>
      <c r="B40" s="36">
        <v>5.1</v>
      </c>
      <c r="C40" s="37" t="s">
        <v>84</v>
      </c>
      <c r="D40" s="37" t="str">
        <f t="shared" si="3"/>
        <v>rokprognozy=2013 i lp=310</v>
      </c>
      <c r="E40" s="37" t="str">
        <f t="shared" si="8"/>
        <v>rokprognozy=2013 i lp=310</v>
      </c>
      <c r="F40" s="37" t="str">
        <f t="shared" si="8"/>
        <v>rokprognozy=2014 i lp=310</v>
      </c>
      <c r="G40" s="37" t="str">
        <f t="shared" si="8"/>
        <v>rokprognozy=2015 i lp=310</v>
      </c>
      <c r="H40" s="37" t="str">
        <f t="shared" si="8"/>
        <v>rokprognozy=2016 i lp=310</v>
      </c>
      <c r="I40" s="37" t="str">
        <f t="shared" si="8"/>
        <v>rokprognozy=2017 i lp=310</v>
      </c>
      <c r="J40" s="37" t="str">
        <f t="shared" si="8"/>
        <v>rokprognozy=2018 i lp=310</v>
      </c>
      <c r="K40" s="37" t="str">
        <f t="shared" si="8"/>
        <v>rokprognozy=2019 i lp=310</v>
      </c>
      <c r="L40" s="37" t="str">
        <f t="shared" si="8"/>
        <v>rokprognozy=2020 i lp=310</v>
      </c>
      <c r="M40" s="37" t="str">
        <f t="shared" si="8"/>
        <v>rokprognozy=2021 i lp=310</v>
      </c>
      <c r="N40" s="37" t="str">
        <f t="shared" si="9"/>
        <v>rokprognozy=2022 i lp=310</v>
      </c>
      <c r="O40" s="37" t="str">
        <f t="shared" si="9"/>
        <v>rokprognozy=2023 i lp=310</v>
      </c>
      <c r="P40" s="37" t="str">
        <f t="shared" si="9"/>
        <v>rokprognozy=2024 i lp=310</v>
      </c>
      <c r="Q40" s="37" t="str">
        <f t="shared" si="9"/>
        <v>rokprognozy=2025 i lp=310</v>
      </c>
      <c r="R40" s="37" t="str">
        <f t="shared" si="9"/>
        <v>rokprognozy=2026 i lp=310</v>
      </c>
      <c r="S40" s="37" t="str">
        <f t="shared" si="9"/>
        <v>rokprognozy=2027 i lp=310</v>
      </c>
      <c r="T40" s="37" t="str">
        <f t="shared" si="9"/>
        <v>rokprognozy=2028 i lp=310</v>
      </c>
      <c r="U40" s="37" t="str">
        <f t="shared" si="9"/>
        <v>rokprognozy=2029 i lp=310</v>
      </c>
      <c r="V40" s="37" t="str">
        <f t="shared" si="9"/>
        <v>rokprognozy=2030 i lp=310</v>
      </c>
      <c r="W40" s="37" t="str">
        <f t="shared" si="9"/>
        <v>rokprognozy=2031 i lp=310</v>
      </c>
      <c r="X40" s="37" t="str">
        <f t="shared" si="9"/>
        <v>rokprognozy=2032 i lp=310</v>
      </c>
      <c r="Y40" s="37" t="str">
        <f t="shared" si="9"/>
        <v>rokprognozy=2033 i lp=310</v>
      </c>
      <c r="Z40" s="37" t="str">
        <f t="shared" si="9"/>
        <v>rokprognozy=2034 i lp=310</v>
      </c>
      <c r="AA40" s="37" t="str">
        <f t="shared" si="9"/>
        <v>rokprognozy=2035 i lp=310</v>
      </c>
      <c r="AB40" s="37" t="str">
        <f t="shared" si="9"/>
        <v>rokprognozy=2036 i lp=310</v>
      </c>
      <c r="AC40" s="37" t="str">
        <f t="shared" si="9"/>
        <v>rokprognozy=2037 i lp=310</v>
      </c>
      <c r="AD40" s="37" t="str">
        <f aca="true" t="shared" si="10" ref="AD40:AG59">+"rokprognozy="&amp;AD$9&amp;" i lp="&amp;$A40</f>
        <v>rokprognozy=2038 i lp=310</v>
      </c>
      <c r="AE40" s="37" t="str">
        <f t="shared" si="10"/>
        <v>rokprognozy=2039 i lp=310</v>
      </c>
      <c r="AF40" s="37" t="str">
        <f t="shared" si="10"/>
        <v>rokprognozy=2040 i lp=310</v>
      </c>
      <c r="AG40" s="37" t="str">
        <f t="shared" si="10"/>
        <v>rokprognozy=2041 i lp=310</v>
      </c>
      <c r="AH40" s="37" t="str">
        <f aca="true" t="shared" si="11" ref="AH40:AH59">+"rokprognozy="&amp;AH$9&amp;" i lp="&amp;$A40</f>
        <v>rokprognozy=2042 i lp=310</v>
      </c>
    </row>
    <row r="41" spans="1:34" ht="11.25">
      <c r="A41" s="36">
        <v>320</v>
      </c>
      <c r="B41" s="36" t="s">
        <v>85</v>
      </c>
      <c r="C41" s="37" t="s">
        <v>86</v>
      </c>
      <c r="D41" s="37" t="str">
        <f t="shared" si="3"/>
        <v>rokprognozy=2013 i lp=320</v>
      </c>
      <c r="E41" s="37" t="str">
        <f t="shared" si="8"/>
        <v>rokprognozy=2013 i lp=320</v>
      </c>
      <c r="F41" s="37" t="str">
        <f t="shared" si="8"/>
        <v>rokprognozy=2014 i lp=320</v>
      </c>
      <c r="G41" s="37" t="str">
        <f t="shared" si="8"/>
        <v>rokprognozy=2015 i lp=320</v>
      </c>
      <c r="H41" s="37" t="str">
        <f t="shared" si="8"/>
        <v>rokprognozy=2016 i lp=320</v>
      </c>
      <c r="I41" s="37" t="str">
        <f t="shared" si="8"/>
        <v>rokprognozy=2017 i lp=320</v>
      </c>
      <c r="J41" s="37" t="str">
        <f t="shared" si="8"/>
        <v>rokprognozy=2018 i lp=320</v>
      </c>
      <c r="K41" s="37" t="str">
        <f t="shared" si="8"/>
        <v>rokprognozy=2019 i lp=320</v>
      </c>
      <c r="L41" s="37" t="str">
        <f t="shared" si="8"/>
        <v>rokprognozy=2020 i lp=320</v>
      </c>
      <c r="M41" s="37" t="str">
        <f t="shared" si="8"/>
        <v>rokprognozy=2021 i lp=320</v>
      </c>
      <c r="N41" s="37" t="str">
        <f t="shared" si="9"/>
        <v>rokprognozy=2022 i lp=320</v>
      </c>
      <c r="O41" s="37" t="str">
        <f t="shared" si="9"/>
        <v>rokprognozy=2023 i lp=320</v>
      </c>
      <c r="P41" s="37" t="str">
        <f t="shared" si="9"/>
        <v>rokprognozy=2024 i lp=320</v>
      </c>
      <c r="Q41" s="37" t="str">
        <f t="shared" si="9"/>
        <v>rokprognozy=2025 i lp=320</v>
      </c>
      <c r="R41" s="37" t="str">
        <f t="shared" si="9"/>
        <v>rokprognozy=2026 i lp=320</v>
      </c>
      <c r="S41" s="37" t="str">
        <f t="shared" si="9"/>
        <v>rokprognozy=2027 i lp=320</v>
      </c>
      <c r="T41" s="37" t="str">
        <f t="shared" si="9"/>
        <v>rokprognozy=2028 i lp=320</v>
      </c>
      <c r="U41" s="37" t="str">
        <f t="shared" si="9"/>
        <v>rokprognozy=2029 i lp=320</v>
      </c>
      <c r="V41" s="37" t="str">
        <f t="shared" si="9"/>
        <v>rokprognozy=2030 i lp=320</v>
      </c>
      <c r="W41" s="37" t="str">
        <f t="shared" si="9"/>
        <v>rokprognozy=2031 i lp=320</v>
      </c>
      <c r="X41" s="37" t="str">
        <f t="shared" si="9"/>
        <v>rokprognozy=2032 i lp=320</v>
      </c>
      <c r="Y41" s="37" t="str">
        <f t="shared" si="9"/>
        <v>rokprognozy=2033 i lp=320</v>
      </c>
      <c r="Z41" s="37" t="str">
        <f t="shared" si="9"/>
        <v>rokprognozy=2034 i lp=320</v>
      </c>
      <c r="AA41" s="37" t="str">
        <f t="shared" si="9"/>
        <v>rokprognozy=2035 i lp=320</v>
      </c>
      <c r="AB41" s="37" t="str">
        <f t="shared" si="9"/>
        <v>rokprognozy=2036 i lp=320</v>
      </c>
      <c r="AC41" s="37" t="str">
        <f t="shared" si="9"/>
        <v>rokprognozy=2037 i lp=320</v>
      </c>
      <c r="AD41" s="37" t="str">
        <f t="shared" si="10"/>
        <v>rokprognozy=2038 i lp=320</v>
      </c>
      <c r="AE41" s="37" t="str">
        <f t="shared" si="10"/>
        <v>rokprognozy=2039 i lp=320</v>
      </c>
      <c r="AF41" s="37" t="str">
        <f t="shared" si="10"/>
        <v>rokprognozy=2040 i lp=320</v>
      </c>
      <c r="AG41" s="37" t="str">
        <f t="shared" si="10"/>
        <v>rokprognozy=2041 i lp=320</v>
      </c>
      <c r="AH41" s="37" t="str">
        <f t="shared" si="11"/>
        <v>rokprognozy=2042 i lp=320</v>
      </c>
    </row>
    <row r="42" spans="1:34" ht="11.25">
      <c r="A42" s="36">
        <v>330</v>
      </c>
      <c r="B42" s="36" t="s">
        <v>87</v>
      </c>
      <c r="C42" s="37" t="s">
        <v>88</v>
      </c>
      <c r="D42" s="37" t="str">
        <f t="shared" si="3"/>
        <v>rokprognozy=2013 i lp=330</v>
      </c>
      <c r="E42" s="37" t="str">
        <f t="shared" si="8"/>
        <v>rokprognozy=2013 i lp=330</v>
      </c>
      <c r="F42" s="37" t="str">
        <f t="shared" si="8"/>
        <v>rokprognozy=2014 i lp=330</v>
      </c>
      <c r="G42" s="37" t="str">
        <f t="shared" si="8"/>
        <v>rokprognozy=2015 i lp=330</v>
      </c>
      <c r="H42" s="37" t="str">
        <f t="shared" si="8"/>
        <v>rokprognozy=2016 i lp=330</v>
      </c>
      <c r="I42" s="37" t="str">
        <f t="shared" si="8"/>
        <v>rokprognozy=2017 i lp=330</v>
      </c>
      <c r="J42" s="37" t="str">
        <f t="shared" si="8"/>
        <v>rokprognozy=2018 i lp=330</v>
      </c>
      <c r="K42" s="37" t="str">
        <f t="shared" si="8"/>
        <v>rokprognozy=2019 i lp=330</v>
      </c>
      <c r="L42" s="37" t="str">
        <f t="shared" si="8"/>
        <v>rokprognozy=2020 i lp=330</v>
      </c>
      <c r="M42" s="37" t="str">
        <f t="shared" si="8"/>
        <v>rokprognozy=2021 i lp=330</v>
      </c>
      <c r="N42" s="37" t="str">
        <f t="shared" si="9"/>
        <v>rokprognozy=2022 i lp=330</v>
      </c>
      <c r="O42" s="37" t="str">
        <f t="shared" si="9"/>
        <v>rokprognozy=2023 i lp=330</v>
      </c>
      <c r="P42" s="37" t="str">
        <f t="shared" si="9"/>
        <v>rokprognozy=2024 i lp=330</v>
      </c>
      <c r="Q42" s="37" t="str">
        <f t="shared" si="9"/>
        <v>rokprognozy=2025 i lp=330</v>
      </c>
      <c r="R42" s="37" t="str">
        <f t="shared" si="9"/>
        <v>rokprognozy=2026 i lp=330</v>
      </c>
      <c r="S42" s="37" t="str">
        <f t="shared" si="9"/>
        <v>rokprognozy=2027 i lp=330</v>
      </c>
      <c r="T42" s="37" t="str">
        <f t="shared" si="9"/>
        <v>rokprognozy=2028 i lp=330</v>
      </c>
      <c r="U42" s="37" t="str">
        <f t="shared" si="9"/>
        <v>rokprognozy=2029 i lp=330</v>
      </c>
      <c r="V42" s="37" t="str">
        <f t="shared" si="9"/>
        <v>rokprognozy=2030 i lp=330</v>
      </c>
      <c r="W42" s="37" t="str">
        <f t="shared" si="9"/>
        <v>rokprognozy=2031 i lp=330</v>
      </c>
      <c r="X42" s="37" t="str">
        <f t="shared" si="9"/>
        <v>rokprognozy=2032 i lp=330</v>
      </c>
      <c r="Y42" s="37" t="str">
        <f t="shared" si="9"/>
        <v>rokprognozy=2033 i lp=330</v>
      </c>
      <c r="Z42" s="37" t="str">
        <f t="shared" si="9"/>
        <v>rokprognozy=2034 i lp=330</v>
      </c>
      <c r="AA42" s="37" t="str">
        <f t="shared" si="9"/>
        <v>rokprognozy=2035 i lp=330</v>
      </c>
      <c r="AB42" s="37" t="str">
        <f t="shared" si="9"/>
        <v>rokprognozy=2036 i lp=330</v>
      </c>
      <c r="AC42" s="37" t="str">
        <f t="shared" si="9"/>
        <v>rokprognozy=2037 i lp=330</v>
      </c>
      <c r="AD42" s="37" t="str">
        <f t="shared" si="10"/>
        <v>rokprognozy=2038 i lp=330</v>
      </c>
      <c r="AE42" s="37" t="str">
        <f t="shared" si="10"/>
        <v>rokprognozy=2039 i lp=330</v>
      </c>
      <c r="AF42" s="37" t="str">
        <f t="shared" si="10"/>
        <v>rokprognozy=2040 i lp=330</v>
      </c>
      <c r="AG42" s="37" t="str">
        <f t="shared" si="10"/>
        <v>rokprognozy=2041 i lp=330</v>
      </c>
      <c r="AH42" s="37" t="str">
        <f t="shared" si="11"/>
        <v>rokprognozy=2042 i lp=330</v>
      </c>
    </row>
    <row r="43" spans="1:34" ht="11.25">
      <c r="A43" s="36">
        <v>340</v>
      </c>
      <c r="B43" s="36">
        <v>5.2</v>
      </c>
      <c r="C43" s="37" t="s">
        <v>89</v>
      </c>
      <c r="D43" s="37" t="str">
        <f t="shared" si="3"/>
        <v>rokprognozy=2013 i lp=340</v>
      </c>
      <c r="E43" s="37" t="str">
        <f t="shared" si="8"/>
        <v>rokprognozy=2013 i lp=340</v>
      </c>
      <c r="F43" s="37" t="str">
        <f t="shared" si="8"/>
        <v>rokprognozy=2014 i lp=340</v>
      </c>
      <c r="G43" s="37" t="str">
        <f t="shared" si="8"/>
        <v>rokprognozy=2015 i lp=340</v>
      </c>
      <c r="H43" s="37" t="str">
        <f t="shared" si="8"/>
        <v>rokprognozy=2016 i lp=340</v>
      </c>
      <c r="I43" s="37" t="str">
        <f t="shared" si="8"/>
        <v>rokprognozy=2017 i lp=340</v>
      </c>
      <c r="J43" s="37" t="str">
        <f t="shared" si="8"/>
        <v>rokprognozy=2018 i lp=340</v>
      </c>
      <c r="K43" s="37" t="str">
        <f t="shared" si="8"/>
        <v>rokprognozy=2019 i lp=340</v>
      </c>
      <c r="L43" s="37" t="str">
        <f t="shared" si="8"/>
        <v>rokprognozy=2020 i lp=340</v>
      </c>
      <c r="M43" s="37" t="str">
        <f t="shared" si="8"/>
        <v>rokprognozy=2021 i lp=340</v>
      </c>
      <c r="N43" s="37" t="str">
        <f t="shared" si="9"/>
        <v>rokprognozy=2022 i lp=340</v>
      </c>
      <c r="O43" s="37" t="str">
        <f t="shared" si="9"/>
        <v>rokprognozy=2023 i lp=340</v>
      </c>
      <c r="P43" s="37" t="str">
        <f t="shared" si="9"/>
        <v>rokprognozy=2024 i lp=340</v>
      </c>
      <c r="Q43" s="37" t="str">
        <f t="shared" si="9"/>
        <v>rokprognozy=2025 i lp=340</v>
      </c>
      <c r="R43" s="37" t="str">
        <f t="shared" si="9"/>
        <v>rokprognozy=2026 i lp=340</v>
      </c>
      <c r="S43" s="37" t="str">
        <f t="shared" si="9"/>
        <v>rokprognozy=2027 i lp=340</v>
      </c>
      <c r="T43" s="37" t="str">
        <f t="shared" si="9"/>
        <v>rokprognozy=2028 i lp=340</v>
      </c>
      <c r="U43" s="37" t="str">
        <f t="shared" si="9"/>
        <v>rokprognozy=2029 i lp=340</v>
      </c>
      <c r="V43" s="37" t="str">
        <f t="shared" si="9"/>
        <v>rokprognozy=2030 i lp=340</v>
      </c>
      <c r="W43" s="37" t="str">
        <f t="shared" si="9"/>
        <v>rokprognozy=2031 i lp=340</v>
      </c>
      <c r="X43" s="37" t="str">
        <f t="shared" si="9"/>
        <v>rokprognozy=2032 i lp=340</v>
      </c>
      <c r="Y43" s="37" t="str">
        <f t="shared" si="9"/>
        <v>rokprognozy=2033 i lp=340</v>
      </c>
      <c r="Z43" s="37" t="str">
        <f t="shared" si="9"/>
        <v>rokprognozy=2034 i lp=340</v>
      </c>
      <c r="AA43" s="37" t="str">
        <f t="shared" si="9"/>
        <v>rokprognozy=2035 i lp=340</v>
      </c>
      <c r="AB43" s="37" t="str">
        <f t="shared" si="9"/>
        <v>rokprognozy=2036 i lp=340</v>
      </c>
      <c r="AC43" s="37" t="str">
        <f t="shared" si="9"/>
        <v>rokprognozy=2037 i lp=340</v>
      </c>
      <c r="AD43" s="37" t="str">
        <f t="shared" si="10"/>
        <v>rokprognozy=2038 i lp=340</v>
      </c>
      <c r="AE43" s="37" t="str">
        <f t="shared" si="10"/>
        <v>rokprognozy=2039 i lp=340</v>
      </c>
      <c r="AF43" s="37" t="str">
        <f t="shared" si="10"/>
        <v>rokprognozy=2040 i lp=340</v>
      </c>
      <c r="AG43" s="37" t="str">
        <f t="shared" si="10"/>
        <v>rokprognozy=2041 i lp=340</v>
      </c>
      <c r="AH43" s="37" t="str">
        <f t="shared" si="11"/>
        <v>rokprognozy=2042 i lp=340</v>
      </c>
    </row>
    <row r="44" spans="1:34" ht="11.25">
      <c r="A44" s="36">
        <v>350</v>
      </c>
      <c r="B44" s="36">
        <v>6</v>
      </c>
      <c r="C44" s="37" t="s">
        <v>27</v>
      </c>
      <c r="D44" s="37" t="str">
        <f t="shared" si="3"/>
        <v>rokprognozy=2013 i lp=350</v>
      </c>
      <c r="E44" s="37" t="str">
        <f t="shared" si="8"/>
        <v>rokprognozy=2013 i lp=350</v>
      </c>
      <c r="F44" s="37" t="str">
        <f t="shared" si="8"/>
        <v>rokprognozy=2014 i lp=350</v>
      </c>
      <c r="G44" s="37" t="str">
        <f t="shared" si="8"/>
        <v>rokprognozy=2015 i lp=350</v>
      </c>
      <c r="H44" s="37" t="str">
        <f t="shared" si="8"/>
        <v>rokprognozy=2016 i lp=350</v>
      </c>
      <c r="I44" s="37" t="str">
        <f t="shared" si="8"/>
        <v>rokprognozy=2017 i lp=350</v>
      </c>
      <c r="J44" s="37" t="str">
        <f t="shared" si="8"/>
        <v>rokprognozy=2018 i lp=350</v>
      </c>
      <c r="K44" s="37" t="str">
        <f t="shared" si="8"/>
        <v>rokprognozy=2019 i lp=350</v>
      </c>
      <c r="L44" s="37" t="str">
        <f t="shared" si="8"/>
        <v>rokprognozy=2020 i lp=350</v>
      </c>
      <c r="M44" s="37" t="str">
        <f t="shared" si="8"/>
        <v>rokprognozy=2021 i lp=350</v>
      </c>
      <c r="N44" s="37" t="str">
        <f t="shared" si="9"/>
        <v>rokprognozy=2022 i lp=350</v>
      </c>
      <c r="O44" s="37" t="str">
        <f t="shared" si="9"/>
        <v>rokprognozy=2023 i lp=350</v>
      </c>
      <c r="P44" s="37" t="str">
        <f t="shared" si="9"/>
        <v>rokprognozy=2024 i lp=350</v>
      </c>
      <c r="Q44" s="37" t="str">
        <f t="shared" si="9"/>
        <v>rokprognozy=2025 i lp=350</v>
      </c>
      <c r="R44" s="37" t="str">
        <f t="shared" si="9"/>
        <v>rokprognozy=2026 i lp=350</v>
      </c>
      <c r="S44" s="37" t="str">
        <f t="shared" si="9"/>
        <v>rokprognozy=2027 i lp=350</v>
      </c>
      <c r="T44" s="37" t="str">
        <f t="shared" si="9"/>
        <v>rokprognozy=2028 i lp=350</v>
      </c>
      <c r="U44" s="37" t="str">
        <f t="shared" si="9"/>
        <v>rokprognozy=2029 i lp=350</v>
      </c>
      <c r="V44" s="37" t="str">
        <f t="shared" si="9"/>
        <v>rokprognozy=2030 i lp=350</v>
      </c>
      <c r="W44" s="37" t="str">
        <f t="shared" si="9"/>
        <v>rokprognozy=2031 i lp=350</v>
      </c>
      <c r="X44" s="37" t="str">
        <f t="shared" si="9"/>
        <v>rokprognozy=2032 i lp=350</v>
      </c>
      <c r="Y44" s="37" t="str">
        <f t="shared" si="9"/>
        <v>rokprognozy=2033 i lp=350</v>
      </c>
      <c r="Z44" s="37" t="str">
        <f t="shared" si="9"/>
        <v>rokprognozy=2034 i lp=350</v>
      </c>
      <c r="AA44" s="37" t="str">
        <f t="shared" si="9"/>
        <v>rokprognozy=2035 i lp=350</v>
      </c>
      <c r="AB44" s="37" t="str">
        <f t="shared" si="9"/>
        <v>rokprognozy=2036 i lp=350</v>
      </c>
      <c r="AC44" s="37" t="str">
        <f t="shared" si="9"/>
        <v>rokprognozy=2037 i lp=350</v>
      </c>
      <c r="AD44" s="37" t="str">
        <f t="shared" si="10"/>
        <v>rokprognozy=2038 i lp=350</v>
      </c>
      <c r="AE44" s="37" t="str">
        <f t="shared" si="10"/>
        <v>rokprognozy=2039 i lp=350</v>
      </c>
      <c r="AF44" s="37" t="str">
        <f t="shared" si="10"/>
        <v>rokprognozy=2040 i lp=350</v>
      </c>
      <c r="AG44" s="37" t="str">
        <f t="shared" si="10"/>
        <v>rokprognozy=2041 i lp=350</v>
      </c>
      <c r="AH44" s="37" t="str">
        <f t="shared" si="11"/>
        <v>rokprognozy=2042 i lp=350</v>
      </c>
    </row>
    <row r="45" spans="1:34" ht="11.25">
      <c r="A45" s="36">
        <v>360</v>
      </c>
      <c r="B45" s="36">
        <v>6.1</v>
      </c>
      <c r="C45" s="37" t="s">
        <v>90</v>
      </c>
      <c r="D45" s="37" t="str">
        <f t="shared" si="3"/>
        <v>rokprognozy=2013 i lp=360</v>
      </c>
      <c r="E45" s="37" t="str">
        <f t="shared" si="8"/>
        <v>rokprognozy=2013 i lp=360</v>
      </c>
      <c r="F45" s="37" t="str">
        <f t="shared" si="8"/>
        <v>rokprognozy=2014 i lp=360</v>
      </c>
      <c r="G45" s="37" t="str">
        <f t="shared" si="8"/>
        <v>rokprognozy=2015 i lp=360</v>
      </c>
      <c r="H45" s="37" t="str">
        <f t="shared" si="8"/>
        <v>rokprognozy=2016 i lp=360</v>
      </c>
      <c r="I45" s="37" t="str">
        <f t="shared" si="8"/>
        <v>rokprognozy=2017 i lp=360</v>
      </c>
      <c r="J45" s="37" t="str">
        <f t="shared" si="8"/>
        <v>rokprognozy=2018 i lp=360</v>
      </c>
      <c r="K45" s="37" t="str">
        <f t="shared" si="8"/>
        <v>rokprognozy=2019 i lp=360</v>
      </c>
      <c r="L45" s="37" t="str">
        <f t="shared" si="8"/>
        <v>rokprognozy=2020 i lp=360</v>
      </c>
      <c r="M45" s="37" t="str">
        <f t="shared" si="8"/>
        <v>rokprognozy=2021 i lp=360</v>
      </c>
      <c r="N45" s="37" t="str">
        <f t="shared" si="9"/>
        <v>rokprognozy=2022 i lp=360</v>
      </c>
      <c r="O45" s="37" t="str">
        <f t="shared" si="9"/>
        <v>rokprognozy=2023 i lp=360</v>
      </c>
      <c r="P45" s="37" t="str">
        <f t="shared" si="9"/>
        <v>rokprognozy=2024 i lp=360</v>
      </c>
      <c r="Q45" s="37" t="str">
        <f t="shared" si="9"/>
        <v>rokprognozy=2025 i lp=360</v>
      </c>
      <c r="R45" s="37" t="str">
        <f t="shared" si="9"/>
        <v>rokprognozy=2026 i lp=360</v>
      </c>
      <c r="S45" s="37" t="str">
        <f t="shared" si="9"/>
        <v>rokprognozy=2027 i lp=360</v>
      </c>
      <c r="T45" s="37" t="str">
        <f t="shared" si="9"/>
        <v>rokprognozy=2028 i lp=360</v>
      </c>
      <c r="U45" s="37" t="str">
        <f t="shared" si="9"/>
        <v>rokprognozy=2029 i lp=360</v>
      </c>
      <c r="V45" s="37" t="str">
        <f t="shared" si="9"/>
        <v>rokprognozy=2030 i lp=360</v>
      </c>
      <c r="W45" s="37" t="str">
        <f t="shared" si="9"/>
        <v>rokprognozy=2031 i lp=360</v>
      </c>
      <c r="X45" s="37" t="str">
        <f t="shared" si="9"/>
        <v>rokprognozy=2032 i lp=360</v>
      </c>
      <c r="Y45" s="37" t="str">
        <f t="shared" si="9"/>
        <v>rokprognozy=2033 i lp=360</v>
      </c>
      <c r="Z45" s="37" t="str">
        <f t="shared" si="9"/>
        <v>rokprognozy=2034 i lp=360</v>
      </c>
      <c r="AA45" s="37" t="str">
        <f t="shared" si="9"/>
        <v>rokprognozy=2035 i lp=360</v>
      </c>
      <c r="AB45" s="37" t="str">
        <f t="shared" si="9"/>
        <v>rokprognozy=2036 i lp=360</v>
      </c>
      <c r="AC45" s="37" t="str">
        <f t="shared" si="9"/>
        <v>rokprognozy=2037 i lp=360</v>
      </c>
      <c r="AD45" s="37" t="str">
        <f t="shared" si="10"/>
        <v>rokprognozy=2038 i lp=360</v>
      </c>
      <c r="AE45" s="37" t="str">
        <f t="shared" si="10"/>
        <v>rokprognozy=2039 i lp=360</v>
      </c>
      <c r="AF45" s="37" t="str">
        <f t="shared" si="10"/>
        <v>rokprognozy=2040 i lp=360</v>
      </c>
      <c r="AG45" s="37" t="str">
        <f t="shared" si="10"/>
        <v>rokprognozy=2041 i lp=360</v>
      </c>
      <c r="AH45" s="37" t="str">
        <f t="shared" si="11"/>
        <v>rokprognozy=2042 i lp=360</v>
      </c>
    </row>
    <row r="46" spans="1:34" ht="11.25">
      <c r="A46" s="36">
        <v>370</v>
      </c>
      <c r="B46" s="36" t="s">
        <v>91</v>
      </c>
      <c r="C46" s="37" t="s">
        <v>92</v>
      </c>
      <c r="D46" s="37" t="str">
        <f t="shared" si="3"/>
        <v>rokprognozy=2013 i lp=370</v>
      </c>
      <c r="E46" s="37" t="str">
        <f t="shared" si="8"/>
        <v>rokprognozy=2013 i lp=370</v>
      </c>
      <c r="F46" s="37" t="str">
        <f t="shared" si="8"/>
        <v>rokprognozy=2014 i lp=370</v>
      </c>
      <c r="G46" s="37" t="str">
        <f t="shared" si="8"/>
        <v>rokprognozy=2015 i lp=370</v>
      </c>
      <c r="H46" s="37" t="str">
        <f t="shared" si="8"/>
        <v>rokprognozy=2016 i lp=370</v>
      </c>
      <c r="I46" s="37" t="str">
        <f t="shared" si="8"/>
        <v>rokprognozy=2017 i lp=370</v>
      </c>
      <c r="J46" s="37" t="str">
        <f t="shared" si="8"/>
        <v>rokprognozy=2018 i lp=370</v>
      </c>
      <c r="K46" s="37" t="str">
        <f t="shared" si="8"/>
        <v>rokprognozy=2019 i lp=370</v>
      </c>
      <c r="L46" s="37" t="str">
        <f t="shared" si="8"/>
        <v>rokprognozy=2020 i lp=370</v>
      </c>
      <c r="M46" s="37" t="str">
        <f t="shared" si="8"/>
        <v>rokprognozy=2021 i lp=370</v>
      </c>
      <c r="N46" s="37" t="str">
        <f t="shared" si="9"/>
        <v>rokprognozy=2022 i lp=370</v>
      </c>
      <c r="O46" s="37" t="str">
        <f t="shared" si="9"/>
        <v>rokprognozy=2023 i lp=370</v>
      </c>
      <c r="P46" s="37" t="str">
        <f t="shared" si="9"/>
        <v>rokprognozy=2024 i lp=370</v>
      </c>
      <c r="Q46" s="37" t="str">
        <f t="shared" si="9"/>
        <v>rokprognozy=2025 i lp=370</v>
      </c>
      <c r="R46" s="37" t="str">
        <f t="shared" si="9"/>
        <v>rokprognozy=2026 i lp=370</v>
      </c>
      <c r="S46" s="37" t="str">
        <f t="shared" si="9"/>
        <v>rokprognozy=2027 i lp=370</v>
      </c>
      <c r="T46" s="37" t="str">
        <f t="shared" si="9"/>
        <v>rokprognozy=2028 i lp=370</v>
      </c>
      <c r="U46" s="37" t="str">
        <f t="shared" si="9"/>
        <v>rokprognozy=2029 i lp=370</v>
      </c>
      <c r="V46" s="37" t="str">
        <f t="shared" si="9"/>
        <v>rokprognozy=2030 i lp=370</v>
      </c>
      <c r="W46" s="37" t="str">
        <f t="shared" si="9"/>
        <v>rokprognozy=2031 i lp=370</v>
      </c>
      <c r="X46" s="37" t="str">
        <f t="shared" si="9"/>
        <v>rokprognozy=2032 i lp=370</v>
      </c>
      <c r="Y46" s="37" t="str">
        <f t="shared" si="9"/>
        <v>rokprognozy=2033 i lp=370</v>
      </c>
      <c r="Z46" s="37" t="str">
        <f t="shared" si="9"/>
        <v>rokprognozy=2034 i lp=370</v>
      </c>
      <c r="AA46" s="37" t="str">
        <f t="shared" si="9"/>
        <v>rokprognozy=2035 i lp=370</v>
      </c>
      <c r="AB46" s="37" t="str">
        <f t="shared" si="9"/>
        <v>rokprognozy=2036 i lp=370</v>
      </c>
      <c r="AC46" s="37" t="str">
        <f t="shared" si="9"/>
        <v>rokprognozy=2037 i lp=370</v>
      </c>
      <c r="AD46" s="37" t="str">
        <f t="shared" si="10"/>
        <v>rokprognozy=2038 i lp=370</v>
      </c>
      <c r="AE46" s="37" t="str">
        <f t="shared" si="10"/>
        <v>rokprognozy=2039 i lp=370</v>
      </c>
      <c r="AF46" s="37" t="str">
        <f t="shared" si="10"/>
        <v>rokprognozy=2040 i lp=370</v>
      </c>
      <c r="AG46" s="37" t="str">
        <f t="shared" si="10"/>
        <v>rokprognozy=2041 i lp=370</v>
      </c>
      <c r="AH46" s="37" t="str">
        <f t="shared" si="11"/>
        <v>rokprognozy=2042 i lp=370</v>
      </c>
    </row>
    <row r="47" spans="1:34" ht="11.25">
      <c r="A47" s="36">
        <v>380</v>
      </c>
      <c r="B47" s="36">
        <v>6.2</v>
      </c>
      <c r="C47" s="37" t="s">
        <v>93</v>
      </c>
      <c r="D47" s="37" t="str">
        <f t="shared" si="3"/>
        <v>rokprognozy=2013 i lp=380</v>
      </c>
      <c r="E47" s="37" t="str">
        <f t="shared" si="8"/>
        <v>rokprognozy=2013 i lp=380</v>
      </c>
      <c r="F47" s="37" t="str">
        <f t="shared" si="8"/>
        <v>rokprognozy=2014 i lp=380</v>
      </c>
      <c r="G47" s="37" t="str">
        <f t="shared" si="8"/>
        <v>rokprognozy=2015 i lp=380</v>
      </c>
      <c r="H47" s="37" t="str">
        <f t="shared" si="8"/>
        <v>rokprognozy=2016 i lp=380</v>
      </c>
      <c r="I47" s="37" t="str">
        <f t="shared" si="8"/>
        <v>rokprognozy=2017 i lp=380</v>
      </c>
      <c r="J47" s="37" t="str">
        <f t="shared" si="8"/>
        <v>rokprognozy=2018 i lp=380</v>
      </c>
      <c r="K47" s="37" t="str">
        <f t="shared" si="8"/>
        <v>rokprognozy=2019 i lp=380</v>
      </c>
      <c r="L47" s="37" t="str">
        <f t="shared" si="8"/>
        <v>rokprognozy=2020 i lp=380</v>
      </c>
      <c r="M47" s="37" t="str">
        <f t="shared" si="8"/>
        <v>rokprognozy=2021 i lp=380</v>
      </c>
      <c r="N47" s="37" t="str">
        <f t="shared" si="9"/>
        <v>rokprognozy=2022 i lp=380</v>
      </c>
      <c r="O47" s="37" t="str">
        <f t="shared" si="9"/>
        <v>rokprognozy=2023 i lp=380</v>
      </c>
      <c r="P47" s="37" t="str">
        <f t="shared" si="9"/>
        <v>rokprognozy=2024 i lp=380</v>
      </c>
      <c r="Q47" s="37" t="str">
        <f t="shared" si="9"/>
        <v>rokprognozy=2025 i lp=380</v>
      </c>
      <c r="R47" s="37" t="str">
        <f t="shared" si="9"/>
        <v>rokprognozy=2026 i lp=380</v>
      </c>
      <c r="S47" s="37" t="str">
        <f t="shared" si="9"/>
        <v>rokprognozy=2027 i lp=380</v>
      </c>
      <c r="T47" s="37" t="str">
        <f t="shared" si="9"/>
        <v>rokprognozy=2028 i lp=380</v>
      </c>
      <c r="U47" s="37" t="str">
        <f t="shared" si="9"/>
        <v>rokprognozy=2029 i lp=380</v>
      </c>
      <c r="V47" s="37" t="str">
        <f t="shared" si="9"/>
        <v>rokprognozy=2030 i lp=380</v>
      </c>
      <c r="W47" s="37" t="str">
        <f t="shared" si="9"/>
        <v>rokprognozy=2031 i lp=380</v>
      </c>
      <c r="X47" s="37" t="str">
        <f t="shared" si="9"/>
        <v>rokprognozy=2032 i lp=380</v>
      </c>
      <c r="Y47" s="37" t="str">
        <f t="shared" si="9"/>
        <v>rokprognozy=2033 i lp=380</v>
      </c>
      <c r="Z47" s="37" t="str">
        <f t="shared" si="9"/>
        <v>rokprognozy=2034 i lp=380</v>
      </c>
      <c r="AA47" s="37" t="str">
        <f t="shared" si="9"/>
        <v>rokprognozy=2035 i lp=380</v>
      </c>
      <c r="AB47" s="37" t="str">
        <f t="shared" si="9"/>
        <v>rokprognozy=2036 i lp=380</v>
      </c>
      <c r="AC47" s="37" t="str">
        <f t="shared" si="9"/>
        <v>rokprognozy=2037 i lp=380</v>
      </c>
      <c r="AD47" s="37" t="str">
        <f t="shared" si="10"/>
        <v>rokprognozy=2038 i lp=380</v>
      </c>
      <c r="AE47" s="37" t="str">
        <f t="shared" si="10"/>
        <v>rokprognozy=2039 i lp=380</v>
      </c>
      <c r="AF47" s="37" t="str">
        <f t="shared" si="10"/>
        <v>rokprognozy=2040 i lp=380</v>
      </c>
      <c r="AG47" s="37" t="str">
        <f t="shared" si="10"/>
        <v>rokprognozy=2041 i lp=380</v>
      </c>
      <c r="AH47" s="37" t="str">
        <f t="shared" si="11"/>
        <v>rokprognozy=2042 i lp=380</v>
      </c>
    </row>
    <row r="48" spans="1:34" ht="11.25">
      <c r="A48" s="36">
        <v>390</v>
      </c>
      <c r="B48" s="36">
        <v>6.3</v>
      </c>
      <c r="C48" s="37" t="s">
        <v>94</v>
      </c>
      <c r="D48" s="37" t="str">
        <f t="shared" si="3"/>
        <v>rokprognozy=2013 i lp=390</v>
      </c>
      <c r="E48" s="37" t="str">
        <f t="shared" si="8"/>
        <v>rokprognozy=2013 i lp=390</v>
      </c>
      <c r="F48" s="37" t="str">
        <f t="shared" si="8"/>
        <v>rokprognozy=2014 i lp=390</v>
      </c>
      <c r="G48" s="37" t="str">
        <f t="shared" si="8"/>
        <v>rokprognozy=2015 i lp=390</v>
      </c>
      <c r="H48" s="37" t="str">
        <f t="shared" si="8"/>
        <v>rokprognozy=2016 i lp=390</v>
      </c>
      <c r="I48" s="37" t="str">
        <f t="shared" si="8"/>
        <v>rokprognozy=2017 i lp=390</v>
      </c>
      <c r="J48" s="37" t="str">
        <f t="shared" si="8"/>
        <v>rokprognozy=2018 i lp=390</v>
      </c>
      <c r="K48" s="37" t="str">
        <f t="shared" si="8"/>
        <v>rokprognozy=2019 i lp=390</v>
      </c>
      <c r="L48" s="37" t="str">
        <f t="shared" si="8"/>
        <v>rokprognozy=2020 i lp=390</v>
      </c>
      <c r="M48" s="37" t="str">
        <f t="shared" si="8"/>
        <v>rokprognozy=2021 i lp=390</v>
      </c>
      <c r="N48" s="37" t="str">
        <f t="shared" si="9"/>
        <v>rokprognozy=2022 i lp=390</v>
      </c>
      <c r="O48" s="37" t="str">
        <f t="shared" si="9"/>
        <v>rokprognozy=2023 i lp=390</v>
      </c>
      <c r="P48" s="37" t="str">
        <f t="shared" si="9"/>
        <v>rokprognozy=2024 i lp=390</v>
      </c>
      <c r="Q48" s="37" t="str">
        <f t="shared" si="9"/>
        <v>rokprognozy=2025 i lp=390</v>
      </c>
      <c r="R48" s="37" t="str">
        <f t="shared" si="9"/>
        <v>rokprognozy=2026 i lp=390</v>
      </c>
      <c r="S48" s="37" t="str">
        <f t="shared" si="9"/>
        <v>rokprognozy=2027 i lp=390</v>
      </c>
      <c r="T48" s="37" t="str">
        <f t="shared" si="9"/>
        <v>rokprognozy=2028 i lp=390</v>
      </c>
      <c r="U48" s="37" t="str">
        <f t="shared" si="9"/>
        <v>rokprognozy=2029 i lp=390</v>
      </c>
      <c r="V48" s="37" t="str">
        <f t="shared" si="9"/>
        <v>rokprognozy=2030 i lp=390</v>
      </c>
      <c r="W48" s="37" t="str">
        <f t="shared" si="9"/>
        <v>rokprognozy=2031 i lp=390</v>
      </c>
      <c r="X48" s="37" t="str">
        <f t="shared" si="9"/>
        <v>rokprognozy=2032 i lp=390</v>
      </c>
      <c r="Y48" s="37" t="str">
        <f t="shared" si="9"/>
        <v>rokprognozy=2033 i lp=390</v>
      </c>
      <c r="Z48" s="37" t="str">
        <f t="shared" si="9"/>
        <v>rokprognozy=2034 i lp=390</v>
      </c>
      <c r="AA48" s="37" t="str">
        <f t="shared" si="9"/>
        <v>rokprognozy=2035 i lp=390</v>
      </c>
      <c r="AB48" s="37" t="str">
        <f t="shared" si="9"/>
        <v>rokprognozy=2036 i lp=390</v>
      </c>
      <c r="AC48" s="37" t="str">
        <f t="shared" si="9"/>
        <v>rokprognozy=2037 i lp=390</v>
      </c>
      <c r="AD48" s="37" t="str">
        <f t="shared" si="10"/>
        <v>rokprognozy=2038 i lp=390</v>
      </c>
      <c r="AE48" s="37" t="str">
        <f t="shared" si="10"/>
        <v>rokprognozy=2039 i lp=390</v>
      </c>
      <c r="AF48" s="37" t="str">
        <f t="shared" si="10"/>
        <v>rokprognozy=2040 i lp=390</v>
      </c>
      <c r="AG48" s="37" t="str">
        <f t="shared" si="10"/>
        <v>rokprognozy=2041 i lp=390</v>
      </c>
      <c r="AH48" s="37" t="str">
        <f t="shared" si="11"/>
        <v>rokprognozy=2042 i lp=390</v>
      </c>
    </row>
    <row r="49" spans="1:34" ht="11.25">
      <c r="A49" s="36">
        <v>400</v>
      </c>
      <c r="B49" s="36">
        <v>7</v>
      </c>
      <c r="C49" s="37" t="s">
        <v>95</v>
      </c>
      <c r="D49" s="37" t="str">
        <f t="shared" si="3"/>
        <v>rokprognozy=2013 i lp=400</v>
      </c>
      <c r="E49" s="37" t="str">
        <f t="shared" si="8"/>
        <v>rokprognozy=2013 i lp=400</v>
      </c>
      <c r="F49" s="37" t="str">
        <f t="shared" si="8"/>
        <v>rokprognozy=2014 i lp=400</v>
      </c>
      <c r="G49" s="37" t="str">
        <f t="shared" si="8"/>
        <v>rokprognozy=2015 i lp=400</v>
      </c>
      <c r="H49" s="37" t="str">
        <f t="shared" si="8"/>
        <v>rokprognozy=2016 i lp=400</v>
      </c>
      <c r="I49" s="37" t="str">
        <f t="shared" si="8"/>
        <v>rokprognozy=2017 i lp=400</v>
      </c>
      <c r="J49" s="37" t="str">
        <f t="shared" si="8"/>
        <v>rokprognozy=2018 i lp=400</v>
      </c>
      <c r="K49" s="37" t="str">
        <f t="shared" si="8"/>
        <v>rokprognozy=2019 i lp=400</v>
      </c>
      <c r="L49" s="37" t="str">
        <f t="shared" si="8"/>
        <v>rokprognozy=2020 i lp=400</v>
      </c>
      <c r="M49" s="37" t="str">
        <f t="shared" si="8"/>
        <v>rokprognozy=2021 i lp=400</v>
      </c>
      <c r="N49" s="37" t="str">
        <f t="shared" si="9"/>
        <v>rokprognozy=2022 i lp=400</v>
      </c>
      <c r="O49" s="37" t="str">
        <f t="shared" si="9"/>
        <v>rokprognozy=2023 i lp=400</v>
      </c>
      <c r="P49" s="37" t="str">
        <f t="shared" si="9"/>
        <v>rokprognozy=2024 i lp=400</v>
      </c>
      <c r="Q49" s="37" t="str">
        <f t="shared" si="9"/>
        <v>rokprognozy=2025 i lp=400</v>
      </c>
      <c r="R49" s="37" t="str">
        <f t="shared" si="9"/>
        <v>rokprognozy=2026 i lp=400</v>
      </c>
      <c r="S49" s="37" t="str">
        <f t="shared" si="9"/>
        <v>rokprognozy=2027 i lp=400</v>
      </c>
      <c r="T49" s="37" t="str">
        <f t="shared" si="9"/>
        <v>rokprognozy=2028 i lp=400</v>
      </c>
      <c r="U49" s="37" t="str">
        <f t="shared" si="9"/>
        <v>rokprognozy=2029 i lp=400</v>
      </c>
      <c r="V49" s="37" t="str">
        <f t="shared" si="9"/>
        <v>rokprognozy=2030 i lp=400</v>
      </c>
      <c r="W49" s="37" t="str">
        <f t="shared" si="9"/>
        <v>rokprognozy=2031 i lp=400</v>
      </c>
      <c r="X49" s="37" t="str">
        <f t="shared" si="9"/>
        <v>rokprognozy=2032 i lp=400</v>
      </c>
      <c r="Y49" s="37" t="str">
        <f t="shared" si="9"/>
        <v>rokprognozy=2033 i lp=400</v>
      </c>
      <c r="Z49" s="37" t="str">
        <f t="shared" si="9"/>
        <v>rokprognozy=2034 i lp=400</v>
      </c>
      <c r="AA49" s="37" t="str">
        <f t="shared" si="9"/>
        <v>rokprognozy=2035 i lp=400</v>
      </c>
      <c r="AB49" s="37" t="str">
        <f t="shared" si="9"/>
        <v>rokprognozy=2036 i lp=400</v>
      </c>
      <c r="AC49" s="37" t="str">
        <f t="shared" si="9"/>
        <v>rokprognozy=2037 i lp=400</v>
      </c>
      <c r="AD49" s="37" t="str">
        <f t="shared" si="10"/>
        <v>rokprognozy=2038 i lp=400</v>
      </c>
      <c r="AE49" s="37" t="str">
        <f t="shared" si="10"/>
        <v>rokprognozy=2039 i lp=400</v>
      </c>
      <c r="AF49" s="37" t="str">
        <f t="shared" si="10"/>
        <v>rokprognozy=2040 i lp=400</v>
      </c>
      <c r="AG49" s="37" t="str">
        <f t="shared" si="10"/>
        <v>rokprognozy=2041 i lp=400</v>
      </c>
      <c r="AH49" s="37" t="str">
        <f t="shared" si="11"/>
        <v>rokprognozy=2042 i lp=400</v>
      </c>
    </row>
    <row r="50" spans="1:34" ht="11.25">
      <c r="A50" s="36">
        <v>410</v>
      </c>
      <c r="D50" s="37" t="str">
        <f t="shared" si="3"/>
        <v>rokprognozy=2013 i lp=410</v>
      </c>
      <c r="E50" s="37" t="str">
        <f t="shared" si="8"/>
        <v>rokprognozy=2013 i lp=410</v>
      </c>
      <c r="F50" s="37" t="str">
        <f t="shared" si="8"/>
        <v>rokprognozy=2014 i lp=410</v>
      </c>
      <c r="G50" s="37" t="str">
        <f t="shared" si="8"/>
        <v>rokprognozy=2015 i lp=410</v>
      </c>
      <c r="H50" s="37" t="str">
        <f t="shared" si="8"/>
        <v>rokprognozy=2016 i lp=410</v>
      </c>
      <c r="I50" s="37" t="str">
        <f t="shared" si="8"/>
        <v>rokprognozy=2017 i lp=410</v>
      </c>
      <c r="J50" s="37" t="str">
        <f t="shared" si="8"/>
        <v>rokprognozy=2018 i lp=410</v>
      </c>
      <c r="K50" s="37" t="str">
        <f t="shared" si="8"/>
        <v>rokprognozy=2019 i lp=410</v>
      </c>
      <c r="L50" s="37" t="str">
        <f t="shared" si="8"/>
        <v>rokprognozy=2020 i lp=410</v>
      </c>
      <c r="M50" s="37" t="str">
        <f t="shared" si="8"/>
        <v>rokprognozy=2021 i lp=410</v>
      </c>
      <c r="N50" s="37" t="str">
        <f t="shared" si="9"/>
        <v>rokprognozy=2022 i lp=410</v>
      </c>
      <c r="O50" s="37" t="str">
        <f t="shared" si="9"/>
        <v>rokprognozy=2023 i lp=410</v>
      </c>
      <c r="P50" s="37" t="str">
        <f t="shared" si="9"/>
        <v>rokprognozy=2024 i lp=410</v>
      </c>
      <c r="Q50" s="37" t="str">
        <f t="shared" si="9"/>
        <v>rokprognozy=2025 i lp=410</v>
      </c>
      <c r="R50" s="37" t="str">
        <f t="shared" si="9"/>
        <v>rokprognozy=2026 i lp=410</v>
      </c>
      <c r="S50" s="37" t="str">
        <f t="shared" si="9"/>
        <v>rokprognozy=2027 i lp=410</v>
      </c>
      <c r="T50" s="37" t="str">
        <f t="shared" si="9"/>
        <v>rokprognozy=2028 i lp=410</v>
      </c>
      <c r="U50" s="37" t="str">
        <f t="shared" si="9"/>
        <v>rokprognozy=2029 i lp=410</v>
      </c>
      <c r="V50" s="37" t="str">
        <f t="shared" si="9"/>
        <v>rokprognozy=2030 i lp=410</v>
      </c>
      <c r="W50" s="37" t="str">
        <f t="shared" si="9"/>
        <v>rokprognozy=2031 i lp=410</v>
      </c>
      <c r="X50" s="37" t="str">
        <f t="shared" si="9"/>
        <v>rokprognozy=2032 i lp=410</v>
      </c>
      <c r="Y50" s="37" t="str">
        <f t="shared" si="9"/>
        <v>rokprognozy=2033 i lp=410</v>
      </c>
      <c r="Z50" s="37" t="str">
        <f t="shared" si="9"/>
        <v>rokprognozy=2034 i lp=410</v>
      </c>
      <c r="AA50" s="37" t="str">
        <f t="shared" si="9"/>
        <v>rokprognozy=2035 i lp=410</v>
      </c>
      <c r="AB50" s="37" t="str">
        <f t="shared" si="9"/>
        <v>rokprognozy=2036 i lp=410</v>
      </c>
      <c r="AC50" s="37" t="str">
        <f t="shared" si="9"/>
        <v>rokprognozy=2037 i lp=410</v>
      </c>
      <c r="AD50" s="37" t="str">
        <f t="shared" si="10"/>
        <v>rokprognozy=2038 i lp=410</v>
      </c>
      <c r="AE50" s="37" t="str">
        <f t="shared" si="10"/>
        <v>rokprognozy=2039 i lp=410</v>
      </c>
      <c r="AF50" s="37" t="str">
        <f t="shared" si="10"/>
        <v>rokprognozy=2040 i lp=410</v>
      </c>
      <c r="AG50" s="37" t="str">
        <f t="shared" si="10"/>
        <v>rokprognozy=2041 i lp=410</v>
      </c>
      <c r="AH50" s="37" t="str">
        <f t="shared" si="11"/>
        <v>rokprognozy=2042 i lp=410</v>
      </c>
    </row>
    <row r="51" spans="1:34" ht="11.25">
      <c r="A51" s="36">
        <v>420</v>
      </c>
      <c r="B51" s="36">
        <v>8.1</v>
      </c>
      <c r="C51" s="37" t="s">
        <v>96</v>
      </c>
      <c r="D51" s="37" t="str">
        <f t="shared" si="3"/>
        <v>rokprognozy=2013 i lp=420</v>
      </c>
      <c r="E51" s="37" t="str">
        <f t="shared" si="8"/>
        <v>rokprognozy=2013 i lp=420</v>
      </c>
      <c r="F51" s="37" t="str">
        <f t="shared" si="8"/>
        <v>rokprognozy=2014 i lp=420</v>
      </c>
      <c r="G51" s="37" t="str">
        <f t="shared" si="8"/>
        <v>rokprognozy=2015 i lp=420</v>
      </c>
      <c r="H51" s="37" t="str">
        <f t="shared" si="8"/>
        <v>rokprognozy=2016 i lp=420</v>
      </c>
      <c r="I51" s="37" t="str">
        <f t="shared" si="8"/>
        <v>rokprognozy=2017 i lp=420</v>
      </c>
      <c r="J51" s="37" t="str">
        <f t="shared" si="8"/>
        <v>rokprognozy=2018 i lp=420</v>
      </c>
      <c r="K51" s="37" t="str">
        <f t="shared" si="8"/>
        <v>rokprognozy=2019 i lp=420</v>
      </c>
      <c r="L51" s="37" t="str">
        <f t="shared" si="8"/>
        <v>rokprognozy=2020 i lp=420</v>
      </c>
      <c r="M51" s="37" t="str">
        <f t="shared" si="8"/>
        <v>rokprognozy=2021 i lp=420</v>
      </c>
      <c r="N51" s="37" t="str">
        <f t="shared" si="9"/>
        <v>rokprognozy=2022 i lp=420</v>
      </c>
      <c r="O51" s="37" t="str">
        <f t="shared" si="9"/>
        <v>rokprognozy=2023 i lp=420</v>
      </c>
      <c r="P51" s="37" t="str">
        <f t="shared" si="9"/>
        <v>rokprognozy=2024 i lp=420</v>
      </c>
      <c r="Q51" s="37" t="str">
        <f t="shared" si="9"/>
        <v>rokprognozy=2025 i lp=420</v>
      </c>
      <c r="R51" s="37" t="str">
        <f t="shared" si="9"/>
        <v>rokprognozy=2026 i lp=420</v>
      </c>
      <c r="S51" s="37" t="str">
        <f t="shared" si="9"/>
        <v>rokprognozy=2027 i lp=420</v>
      </c>
      <c r="T51" s="37" t="str">
        <f t="shared" si="9"/>
        <v>rokprognozy=2028 i lp=420</v>
      </c>
      <c r="U51" s="37" t="str">
        <f t="shared" si="9"/>
        <v>rokprognozy=2029 i lp=420</v>
      </c>
      <c r="V51" s="37" t="str">
        <f t="shared" si="9"/>
        <v>rokprognozy=2030 i lp=420</v>
      </c>
      <c r="W51" s="37" t="str">
        <f t="shared" si="9"/>
        <v>rokprognozy=2031 i lp=420</v>
      </c>
      <c r="X51" s="37" t="str">
        <f t="shared" si="9"/>
        <v>rokprognozy=2032 i lp=420</v>
      </c>
      <c r="Y51" s="37" t="str">
        <f t="shared" si="9"/>
        <v>rokprognozy=2033 i lp=420</v>
      </c>
      <c r="Z51" s="37" t="str">
        <f t="shared" si="9"/>
        <v>rokprognozy=2034 i lp=420</v>
      </c>
      <c r="AA51" s="37" t="str">
        <f t="shared" si="9"/>
        <v>rokprognozy=2035 i lp=420</v>
      </c>
      <c r="AB51" s="37" t="str">
        <f t="shared" si="9"/>
        <v>rokprognozy=2036 i lp=420</v>
      </c>
      <c r="AC51" s="37" t="str">
        <f t="shared" si="9"/>
        <v>rokprognozy=2037 i lp=420</v>
      </c>
      <c r="AD51" s="37" t="str">
        <f t="shared" si="10"/>
        <v>rokprognozy=2038 i lp=420</v>
      </c>
      <c r="AE51" s="37" t="str">
        <f t="shared" si="10"/>
        <v>rokprognozy=2039 i lp=420</v>
      </c>
      <c r="AF51" s="37" t="str">
        <f t="shared" si="10"/>
        <v>rokprognozy=2040 i lp=420</v>
      </c>
      <c r="AG51" s="37" t="str">
        <f t="shared" si="10"/>
        <v>rokprognozy=2041 i lp=420</v>
      </c>
      <c r="AH51" s="37" t="str">
        <f t="shared" si="11"/>
        <v>rokprognozy=2042 i lp=420</v>
      </c>
    </row>
    <row r="52" spans="1:34" ht="11.25">
      <c r="A52" s="36">
        <v>430</v>
      </c>
      <c r="B52" s="36">
        <v>8.2</v>
      </c>
      <c r="C52" s="37" t="s">
        <v>97</v>
      </c>
      <c r="D52" s="37" t="str">
        <f t="shared" si="3"/>
        <v>rokprognozy=2013 i lp=430</v>
      </c>
      <c r="E52" s="37" t="str">
        <f aca="true" t="shared" si="12" ref="E52:S68">+"rokprognozy="&amp;E$9&amp;" i lp="&amp;$A52</f>
        <v>rokprognozy=2013 i lp=430</v>
      </c>
      <c r="F52" s="37" t="str">
        <f t="shared" si="12"/>
        <v>rokprognozy=2014 i lp=430</v>
      </c>
      <c r="G52" s="37" t="str">
        <f t="shared" si="12"/>
        <v>rokprognozy=2015 i lp=430</v>
      </c>
      <c r="H52" s="37" t="str">
        <f t="shared" si="12"/>
        <v>rokprognozy=2016 i lp=430</v>
      </c>
      <c r="I52" s="37" t="str">
        <f t="shared" si="12"/>
        <v>rokprognozy=2017 i lp=430</v>
      </c>
      <c r="J52" s="37" t="str">
        <f t="shared" si="12"/>
        <v>rokprognozy=2018 i lp=430</v>
      </c>
      <c r="K52" s="37" t="str">
        <f t="shared" si="12"/>
        <v>rokprognozy=2019 i lp=430</v>
      </c>
      <c r="L52" s="37" t="str">
        <f t="shared" si="12"/>
        <v>rokprognozy=2020 i lp=430</v>
      </c>
      <c r="M52" s="37" t="str">
        <f t="shared" si="12"/>
        <v>rokprognozy=2021 i lp=430</v>
      </c>
      <c r="N52" s="37" t="str">
        <f t="shared" si="9"/>
        <v>rokprognozy=2022 i lp=430</v>
      </c>
      <c r="O52" s="37" t="str">
        <f t="shared" si="9"/>
        <v>rokprognozy=2023 i lp=430</v>
      </c>
      <c r="P52" s="37" t="str">
        <f t="shared" si="9"/>
        <v>rokprognozy=2024 i lp=430</v>
      </c>
      <c r="Q52" s="37" t="str">
        <f t="shared" si="9"/>
        <v>rokprognozy=2025 i lp=430</v>
      </c>
      <c r="R52" s="37" t="str">
        <f t="shared" si="9"/>
        <v>rokprognozy=2026 i lp=430</v>
      </c>
      <c r="S52" s="37" t="str">
        <f t="shared" si="9"/>
        <v>rokprognozy=2027 i lp=430</v>
      </c>
      <c r="T52" s="37" t="str">
        <f t="shared" si="9"/>
        <v>rokprognozy=2028 i lp=430</v>
      </c>
      <c r="U52" s="37" t="str">
        <f t="shared" si="9"/>
        <v>rokprognozy=2029 i lp=430</v>
      </c>
      <c r="V52" s="37" t="str">
        <f t="shared" si="9"/>
        <v>rokprognozy=2030 i lp=430</v>
      </c>
      <c r="W52" s="37" t="str">
        <f t="shared" si="9"/>
        <v>rokprognozy=2031 i lp=430</v>
      </c>
      <c r="X52" s="37" t="str">
        <f t="shared" si="9"/>
        <v>rokprognozy=2032 i lp=430</v>
      </c>
      <c r="Y52" s="37" t="str">
        <f t="shared" si="9"/>
        <v>rokprognozy=2033 i lp=430</v>
      </c>
      <c r="Z52" s="37" t="str">
        <f t="shared" si="9"/>
        <v>rokprognozy=2034 i lp=430</v>
      </c>
      <c r="AA52" s="37" t="str">
        <f t="shared" si="9"/>
        <v>rokprognozy=2035 i lp=430</v>
      </c>
      <c r="AB52" s="37" t="str">
        <f t="shared" si="9"/>
        <v>rokprognozy=2036 i lp=430</v>
      </c>
      <c r="AC52" s="37" t="str">
        <f t="shared" si="9"/>
        <v>rokprognozy=2037 i lp=430</v>
      </c>
      <c r="AD52" s="37" t="str">
        <f t="shared" si="10"/>
        <v>rokprognozy=2038 i lp=430</v>
      </c>
      <c r="AE52" s="37" t="str">
        <f t="shared" si="10"/>
        <v>rokprognozy=2039 i lp=430</v>
      </c>
      <c r="AF52" s="37" t="str">
        <f t="shared" si="10"/>
        <v>rokprognozy=2040 i lp=430</v>
      </c>
      <c r="AG52" s="37" t="str">
        <f t="shared" si="10"/>
        <v>rokprognozy=2041 i lp=430</v>
      </c>
      <c r="AH52" s="37" t="str">
        <f t="shared" si="11"/>
        <v>rokprognozy=2042 i lp=430</v>
      </c>
    </row>
    <row r="53" spans="1:34" ht="11.25">
      <c r="A53" s="36">
        <v>440</v>
      </c>
      <c r="D53" s="37" t="str">
        <f t="shared" si="3"/>
        <v>rokprognozy=2013 i lp=440</v>
      </c>
      <c r="E53" s="37" t="str">
        <f t="shared" si="12"/>
        <v>rokprognozy=2013 i lp=440</v>
      </c>
      <c r="F53" s="37" t="str">
        <f t="shared" si="12"/>
        <v>rokprognozy=2014 i lp=440</v>
      </c>
      <c r="G53" s="37" t="str">
        <f t="shared" si="12"/>
        <v>rokprognozy=2015 i lp=440</v>
      </c>
      <c r="H53" s="37" t="str">
        <f t="shared" si="12"/>
        <v>rokprognozy=2016 i lp=440</v>
      </c>
      <c r="I53" s="37" t="str">
        <f t="shared" si="12"/>
        <v>rokprognozy=2017 i lp=440</v>
      </c>
      <c r="J53" s="37" t="str">
        <f t="shared" si="12"/>
        <v>rokprognozy=2018 i lp=440</v>
      </c>
      <c r="K53" s="37" t="str">
        <f t="shared" si="12"/>
        <v>rokprognozy=2019 i lp=440</v>
      </c>
      <c r="L53" s="37" t="str">
        <f t="shared" si="12"/>
        <v>rokprognozy=2020 i lp=440</v>
      </c>
      <c r="M53" s="37" t="str">
        <f t="shared" si="12"/>
        <v>rokprognozy=2021 i lp=440</v>
      </c>
      <c r="N53" s="37" t="str">
        <f t="shared" si="9"/>
        <v>rokprognozy=2022 i lp=440</v>
      </c>
      <c r="O53" s="37" t="str">
        <f t="shared" si="9"/>
        <v>rokprognozy=2023 i lp=440</v>
      </c>
      <c r="P53" s="37" t="str">
        <f t="shared" si="9"/>
        <v>rokprognozy=2024 i lp=440</v>
      </c>
      <c r="Q53" s="37" t="str">
        <f t="shared" si="9"/>
        <v>rokprognozy=2025 i lp=440</v>
      </c>
      <c r="R53" s="37" t="str">
        <f t="shared" si="9"/>
        <v>rokprognozy=2026 i lp=440</v>
      </c>
      <c r="S53" s="37" t="str">
        <f t="shared" si="9"/>
        <v>rokprognozy=2027 i lp=440</v>
      </c>
      <c r="T53" s="37" t="str">
        <f t="shared" si="9"/>
        <v>rokprognozy=2028 i lp=440</v>
      </c>
      <c r="U53" s="37" t="str">
        <f t="shared" si="9"/>
        <v>rokprognozy=2029 i lp=440</v>
      </c>
      <c r="V53" s="37" t="str">
        <f t="shared" si="9"/>
        <v>rokprognozy=2030 i lp=440</v>
      </c>
      <c r="W53" s="37" t="str">
        <f t="shared" si="9"/>
        <v>rokprognozy=2031 i lp=440</v>
      </c>
      <c r="X53" s="37" t="str">
        <f t="shared" si="9"/>
        <v>rokprognozy=2032 i lp=440</v>
      </c>
      <c r="Y53" s="37" t="str">
        <f t="shared" si="9"/>
        <v>rokprognozy=2033 i lp=440</v>
      </c>
      <c r="Z53" s="37" t="str">
        <f t="shared" si="9"/>
        <v>rokprognozy=2034 i lp=440</v>
      </c>
      <c r="AA53" s="37" t="str">
        <f t="shared" si="9"/>
        <v>rokprognozy=2035 i lp=440</v>
      </c>
      <c r="AB53" s="37" t="str">
        <f t="shared" si="9"/>
        <v>rokprognozy=2036 i lp=440</v>
      </c>
      <c r="AC53" s="37" t="str">
        <f t="shared" si="9"/>
        <v>rokprognozy=2037 i lp=440</v>
      </c>
      <c r="AD53" s="37" t="str">
        <f t="shared" si="10"/>
        <v>rokprognozy=2038 i lp=440</v>
      </c>
      <c r="AE53" s="37" t="str">
        <f t="shared" si="10"/>
        <v>rokprognozy=2039 i lp=440</v>
      </c>
      <c r="AF53" s="37" t="str">
        <f t="shared" si="10"/>
        <v>rokprognozy=2040 i lp=440</v>
      </c>
      <c r="AG53" s="37" t="str">
        <f t="shared" si="10"/>
        <v>rokprognozy=2041 i lp=440</v>
      </c>
      <c r="AH53" s="37" t="str">
        <f t="shared" si="11"/>
        <v>rokprognozy=2042 i lp=440</v>
      </c>
    </row>
    <row r="54" spans="1:34" ht="11.25">
      <c r="A54" s="36">
        <v>450</v>
      </c>
      <c r="B54" s="36">
        <v>9.1</v>
      </c>
      <c r="C54" s="37" t="s">
        <v>98</v>
      </c>
      <c r="D54" s="37" t="str">
        <f t="shared" si="3"/>
        <v>rokprognozy=2013 i lp=450</v>
      </c>
      <c r="E54" s="37" t="str">
        <f t="shared" si="12"/>
        <v>rokprognozy=2013 i lp=450</v>
      </c>
      <c r="F54" s="37" t="str">
        <f t="shared" si="12"/>
        <v>rokprognozy=2014 i lp=450</v>
      </c>
      <c r="G54" s="37" t="str">
        <f t="shared" si="12"/>
        <v>rokprognozy=2015 i lp=450</v>
      </c>
      <c r="H54" s="37" t="str">
        <f t="shared" si="12"/>
        <v>rokprognozy=2016 i lp=450</v>
      </c>
      <c r="I54" s="37" t="str">
        <f t="shared" si="12"/>
        <v>rokprognozy=2017 i lp=450</v>
      </c>
      <c r="J54" s="37" t="str">
        <f t="shared" si="12"/>
        <v>rokprognozy=2018 i lp=450</v>
      </c>
      <c r="K54" s="37" t="str">
        <f t="shared" si="12"/>
        <v>rokprognozy=2019 i lp=450</v>
      </c>
      <c r="L54" s="37" t="str">
        <f t="shared" si="12"/>
        <v>rokprognozy=2020 i lp=450</v>
      </c>
      <c r="M54" s="37" t="str">
        <f t="shared" si="12"/>
        <v>rokprognozy=2021 i lp=450</v>
      </c>
      <c r="N54" s="37" t="str">
        <f t="shared" si="9"/>
        <v>rokprognozy=2022 i lp=450</v>
      </c>
      <c r="O54" s="37" t="str">
        <f t="shared" si="9"/>
        <v>rokprognozy=2023 i lp=450</v>
      </c>
      <c r="P54" s="37" t="str">
        <f t="shared" si="9"/>
        <v>rokprognozy=2024 i lp=450</v>
      </c>
      <c r="Q54" s="37" t="str">
        <f t="shared" si="9"/>
        <v>rokprognozy=2025 i lp=450</v>
      </c>
      <c r="R54" s="37" t="str">
        <f t="shared" si="9"/>
        <v>rokprognozy=2026 i lp=450</v>
      </c>
      <c r="S54" s="37" t="str">
        <f t="shared" si="9"/>
        <v>rokprognozy=2027 i lp=450</v>
      </c>
      <c r="T54" s="37" t="str">
        <f t="shared" si="9"/>
        <v>rokprognozy=2028 i lp=450</v>
      </c>
      <c r="U54" s="37" t="str">
        <f t="shared" si="9"/>
        <v>rokprognozy=2029 i lp=450</v>
      </c>
      <c r="V54" s="37" t="str">
        <f t="shared" si="9"/>
        <v>rokprognozy=2030 i lp=450</v>
      </c>
      <c r="W54" s="37" t="str">
        <f t="shared" si="9"/>
        <v>rokprognozy=2031 i lp=450</v>
      </c>
      <c r="X54" s="37" t="str">
        <f t="shared" si="9"/>
        <v>rokprognozy=2032 i lp=450</v>
      </c>
      <c r="Y54" s="37" t="str">
        <f t="shared" si="9"/>
        <v>rokprognozy=2033 i lp=450</v>
      </c>
      <c r="Z54" s="37" t="str">
        <f t="shared" si="9"/>
        <v>rokprognozy=2034 i lp=450</v>
      </c>
      <c r="AA54" s="37" t="str">
        <f t="shared" si="9"/>
        <v>rokprognozy=2035 i lp=450</v>
      </c>
      <c r="AB54" s="37" t="str">
        <f t="shared" si="9"/>
        <v>rokprognozy=2036 i lp=450</v>
      </c>
      <c r="AC54" s="37" t="str">
        <f t="shared" si="9"/>
        <v>rokprognozy=2037 i lp=450</v>
      </c>
      <c r="AD54" s="37" t="str">
        <f t="shared" si="10"/>
        <v>rokprognozy=2038 i lp=450</v>
      </c>
      <c r="AE54" s="37" t="str">
        <f t="shared" si="10"/>
        <v>rokprognozy=2039 i lp=450</v>
      </c>
      <c r="AF54" s="37" t="str">
        <f t="shared" si="10"/>
        <v>rokprognozy=2040 i lp=450</v>
      </c>
      <c r="AG54" s="37" t="str">
        <f t="shared" si="10"/>
        <v>rokprognozy=2041 i lp=450</v>
      </c>
      <c r="AH54" s="37" t="str">
        <f t="shared" si="11"/>
        <v>rokprognozy=2042 i lp=450</v>
      </c>
    </row>
    <row r="55" spans="1:34" ht="11.25">
      <c r="A55" s="36">
        <v>460</v>
      </c>
      <c r="B55" s="36">
        <v>9.2</v>
      </c>
      <c r="C55" s="37" t="s">
        <v>99</v>
      </c>
      <c r="D55" s="37" t="str">
        <f t="shared" si="3"/>
        <v>rokprognozy=2013 i lp=460</v>
      </c>
      <c r="E55" s="37" t="str">
        <f t="shared" si="12"/>
        <v>rokprognozy=2013 i lp=460</v>
      </c>
      <c r="F55" s="37" t="str">
        <f t="shared" si="12"/>
        <v>rokprognozy=2014 i lp=460</v>
      </c>
      <c r="G55" s="37" t="str">
        <f t="shared" si="12"/>
        <v>rokprognozy=2015 i lp=460</v>
      </c>
      <c r="H55" s="37" t="str">
        <f t="shared" si="12"/>
        <v>rokprognozy=2016 i lp=460</v>
      </c>
      <c r="I55" s="37" t="str">
        <f t="shared" si="12"/>
        <v>rokprognozy=2017 i lp=460</v>
      </c>
      <c r="J55" s="37" t="str">
        <f t="shared" si="12"/>
        <v>rokprognozy=2018 i lp=460</v>
      </c>
      <c r="K55" s="37" t="str">
        <f t="shared" si="12"/>
        <v>rokprognozy=2019 i lp=460</v>
      </c>
      <c r="L55" s="37" t="str">
        <f t="shared" si="12"/>
        <v>rokprognozy=2020 i lp=460</v>
      </c>
      <c r="M55" s="37" t="str">
        <f t="shared" si="12"/>
        <v>rokprognozy=2021 i lp=460</v>
      </c>
      <c r="N55" s="37" t="str">
        <f t="shared" si="9"/>
        <v>rokprognozy=2022 i lp=460</v>
      </c>
      <c r="O55" s="37" t="str">
        <f t="shared" si="9"/>
        <v>rokprognozy=2023 i lp=460</v>
      </c>
      <c r="P55" s="37" t="str">
        <f t="shared" si="9"/>
        <v>rokprognozy=2024 i lp=460</v>
      </c>
      <c r="Q55" s="37" t="str">
        <f t="shared" si="9"/>
        <v>rokprognozy=2025 i lp=460</v>
      </c>
      <c r="R55" s="37" t="str">
        <f t="shared" si="9"/>
        <v>rokprognozy=2026 i lp=460</v>
      </c>
      <c r="S55" s="37" t="str">
        <f t="shared" si="9"/>
        <v>rokprognozy=2027 i lp=460</v>
      </c>
      <c r="T55" s="37" t="str">
        <f aca="true" t="shared" si="13" ref="N55:AC71">+"rokprognozy="&amp;T$9&amp;" i lp="&amp;$A55</f>
        <v>rokprognozy=2028 i lp=460</v>
      </c>
      <c r="U55" s="37" t="str">
        <f t="shared" si="13"/>
        <v>rokprognozy=2029 i lp=460</v>
      </c>
      <c r="V55" s="37" t="str">
        <f t="shared" si="13"/>
        <v>rokprognozy=2030 i lp=460</v>
      </c>
      <c r="W55" s="37" t="str">
        <f t="shared" si="13"/>
        <v>rokprognozy=2031 i lp=460</v>
      </c>
      <c r="X55" s="37" t="str">
        <f t="shared" si="13"/>
        <v>rokprognozy=2032 i lp=460</v>
      </c>
      <c r="Y55" s="37" t="str">
        <f t="shared" si="13"/>
        <v>rokprognozy=2033 i lp=460</v>
      </c>
      <c r="Z55" s="37" t="str">
        <f t="shared" si="13"/>
        <v>rokprognozy=2034 i lp=460</v>
      </c>
      <c r="AA55" s="37" t="str">
        <f t="shared" si="13"/>
        <v>rokprognozy=2035 i lp=460</v>
      </c>
      <c r="AB55" s="37" t="str">
        <f t="shared" si="13"/>
        <v>rokprognozy=2036 i lp=460</v>
      </c>
      <c r="AC55" s="37" t="str">
        <f t="shared" si="13"/>
        <v>rokprognozy=2037 i lp=460</v>
      </c>
      <c r="AD55" s="37" t="str">
        <f t="shared" si="10"/>
        <v>rokprognozy=2038 i lp=460</v>
      </c>
      <c r="AE55" s="37" t="str">
        <f t="shared" si="10"/>
        <v>rokprognozy=2039 i lp=460</v>
      </c>
      <c r="AF55" s="37" t="str">
        <f t="shared" si="10"/>
        <v>rokprognozy=2040 i lp=460</v>
      </c>
      <c r="AG55" s="37" t="str">
        <f t="shared" si="10"/>
        <v>rokprognozy=2041 i lp=460</v>
      </c>
      <c r="AH55" s="37" t="str">
        <f t="shared" si="11"/>
        <v>rokprognozy=2042 i lp=460</v>
      </c>
    </row>
    <row r="56" spans="1:34" ht="11.25">
      <c r="A56" s="36">
        <v>470</v>
      </c>
      <c r="B56" s="36">
        <v>9.3</v>
      </c>
      <c r="C56" s="37" t="s">
        <v>237</v>
      </c>
      <c r="D56" s="37" t="str">
        <f t="shared" si="3"/>
        <v>rokprognozy=2013 i lp=470</v>
      </c>
      <c r="E56" s="37" t="str">
        <f t="shared" si="12"/>
        <v>rokprognozy=2013 i lp=470</v>
      </c>
      <c r="F56" s="37" t="str">
        <f t="shared" si="12"/>
        <v>rokprognozy=2014 i lp=470</v>
      </c>
      <c r="G56" s="37" t="str">
        <f t="shared" si="12"/>
        <v>rokprognozy=2015 i lp=470</v>
      </c>
      <c r="H56" s="37" t="str">
        <f t="shared" si="12"/>
        <v>rokprognozy=2016 i lp=470</v>
      </c>
      <c r="I56" s="37" t="str">
        <f t="shared" si="12"/>
        <v>rokprognozy=2017 i lp=470</v>
      </c>
      <c r="J56" s="37" t="str">
        <f t="shared" si="12"/>
        <v>rokprognozy=2018 i lp=470</v>
      </c>
      <c r="K56" s="37" t="str">
        <f t="shared" si="12"/>
        <v>rokprognozy=2019 i lp=470</v>
      </c>
      <c r="L56" s="37" t="str">
        <f t="shared" si="12"/>
        <v>rokprognozy=2020 i lp=470</v>
      </c>
      <c r="M56" s="37" t="str">
        <f t="shared" si="12"/>
        <v>rokprognozy=2021 i lp=470</v>
      </c>
      <c r="N56" s="37" t="str">
        <f t="shared" si="12"/>
        <v>rokprognozy=2022 i lp=470</v>
      </c>
      <c r="O56" s="37" t="str">
        <f t="shared" si="12"/>
        <v>rokprognozy=2023 i lp=470</v>
      </c>
      <c r="P56" s="37" t="str">
        <f t="shared" si="12"/>
        <v>rokprognozy=2024 i lp=470</v>
      </c>
      <c r="Q56" s="37" t="str">
        <f t="shared" si="12"/>
        <v>rokprognozy=2025 i lp=470</v>
      </c>
      <c r="R56" s="37" t="str">
        <f t="shared" si="12"/>
        <v>rokprognozy=2026 i lp=470</v>
      </c>
      <c r="S56" s="37" t="str">
        <f t="shared" si="12"/>
        <v>rokprognozy=2027 i lp=470</v>
      </c>
      <c r="T56" s="37" t="str">
        <f t="shared" si="13"/>
        <v>rokprognozy=2028 i lp=470</v>
      </c>
      <c r="U56" s="37" t="str">
        <f t="shared" si="13"/>
        <v>rokprognozy=2029 i lp=470</v>
      </c>
      <c r="V56" s="37" t="str">
        <f t="shared" si="13"/>
        <v>rokprognozy=2030 i lp=470</v>
      </c>
      <c r="W56" s="37" t="str">
        <f t="shared" si="13"/>
        <v>rokprognozy=2031 i lp=470</v>
      </c>
      <c r="X56" s="37" t="str">
        <f t="shared" si="13"/>
        <v>rokprognozy=2032 i lp=470</v>
      </c>
      <c r="Y56" s="37" t="str">
        <f>+"rokprognozy="&amp;Y$9&amp;" i lp="&amp;$A56</f>
        <v>rokprognozy=2033 i lp=470</v>
      </c>
      <c r="Z56" s="37" t="str">
        <f>+"rokprognozy="&amp;Z$9&amp;" i lp="&amp;$A56</f>
        <v>rokprognozy=2034 i lp=470</v>
      </c>
      <c r="AA56" s="37" t="str">
        <f>+"rokprognozy="&amp;AA$9&amp;" i lp="&amp;$A56</f>
        <v>rokprognozy=2035 i lp=470</v>
      </c>
      <c r="AB56" s="37" t="str">
        <f>+"rokprognozy="&amp;AB$9&amp;" i lp="&amp;$A56</f>
        <v>rokprognozy=2036 i lp=470</v>
      </c>
      <c r="AC56" s="37" t="str">
        <f>+"rokprognozy="&amp;AC$9&amp;" i lp="&amp;$A56</f>
        <v>rokprognozy=2037 i lp=470</v>
      </c>
      <c r="AD56" s="37" t="str">
        <f t="shared" si="10"/>
        <v>rokprognozy=2038 i lp=470</v>
      </c>
      <c r="AE56" s="37" t="str">
        <f t="shared" si="10"/>
        <v>rokprognozy=2039 i lp=470</v>
      </c>
      <c r="AF56" s="37" t="str">
        <f t="shared" si="10"/>
        <v>rokprognozy=2040 i lp=470</v>
      </c>
      <c r="AG56" s="37" t="str">
        <f t="shared" si="10"/>
        <v>rokprognozy=2041 i lp=470</v>
      </c>
      <c r="AH56" s="37" t="str">
        <f t="shared" si="11"/>
        <v>rokprognozy=2042 i lp=470</v>
      </c>
    </row>
    <row r="57" spans="1:34" ht="11.25">
      <c r="A57" s="36">
        <v>480</v>
      </c>
      <c r="B57" s="36">
        <v>9.4</v>
      </c>
      <c r="C57" s="37" t="s">
        <v>100</v>
      </c>
      <c r="D57" s="37" t="str">
        <f t="shared" si="3"/>
        <v>rokprognozy=2013 i lp=480</v>
      </c>
      <c r="E57" s="37" t="str">
        <f t="shared" si="12"/>
        <v>rokprognozy=2013 i lp=480</v>
      </c>
      <c r="F57" s="37" t="str">
        <f t="shared" si="12"/>
        <v>rokprognozy=2014 i lp=480</v>
      </c>
      <c r="G57" s="37" t="str">
        <f t="shared" si="12"/>
        <v>rokprognozy=2015 i lp=480</v>
      </c>
      <c r="H57" s="37" t="str">
        <f t="shared" si="12"/>
        <v>rokprognozy=2016 i lp=480</v>
      </c>
      <c r="I57" s="37" t="str">
        <f t="shared" si="12"/>
        <v>rokprognozy=2017 i lp=480</v>
      </c>
      <c r="J57" s="37" t="str">
        <f t="shared" si="12"/>
        <v>rokprognozy=2018 i lp=480</v>
      </c>
      <c r="K57" s="37" t="str">
        <f t="shared" si="12"/>
        <v>rokprognozy=2019 i lp=480</v>
      </c>
      <c r="L57" s="37" t="str">
        <f t="shared" si="12"/>
        <v>rokprognozy=2020 i lp=480</v>
      </c>
      <c r="M57" s="37" t="str">
        <f t="shared" si="12"/>
        <v>rokprognozy=2021 i lp=480</v>
      </c>
      <c r="N57" s="37" t="str">
        <f t="shared" si="13"/>
        <v>rokprognozy=2022 i lp=480</v>
      </c>
      <c r="O57" s="37" t="str">
        <f t="shared" si="13"/>
        <v>rokprognozy=2023 i lp=480</v>
      </c>
      <c r="P57" s="37" t="str">
        <f t="shared" si="13"/>
        <v>rokprognozy=2024 i lp=480</v>
      </c>
      <c r="Q57" s="37" t="str">
        <f t="shared" si="13"/>
        <v>rokprognozy=2025 i lp=480</v>
      </c>
      <c r="R57" s="37" t="str">
        <f t="shared" si="13"/>
        <v>rokprognozy=2026 i lp=480</v>
      </c>
      <c r="S57" s="37" t="str">
        <f t="shared" si="13"/>
        <v>rokprognozy=2027 i lp=480</v>
      </c>
      <c r="T57" s="37" t="str">
        <f t="shared" si="13"/>
        <v>rokprognozy=2028 i lp=480</v>
      </c>
      <c r="U57" s="37" t="str">
        <f t="shared" si="13"/>
        <v>rokprognozy=2029 i lp=480</v>
      </c>
      <c r="V57" s="37" t="str">
        <f t="shared" si="13"/>
        <v>rokprognozy=2030 i lp=480</v>
      </c>
      <c r="W57" s="37" t="str">
        <f t="shared" si="13"/>
        <v>rokprognozy=2031 i lp=480</v>
      </c>
      <c r="X57" s="37" t="str">
        <f t="shared" si="13"/>
        <v>rokprognozy=2032 i lp=480</v>
      </c>
      <c r="Y57" s="37" t="str">
        <f t="shared" si="13"/>
        <v>rokprognozy=2033 i lp=480</v>
      </c>
      <c r="Z57" s="37" t="str">
        <f t="shared" si="13"/>
        <v>rokprognozy=2034 i lp=480</v>
      </c>
      <c r="AA57" s="37" t="str">
        <f t="shared" si="13"/>
        <v>rokprognozy=2035 i lp=480</v>
      </c>
      <c r="AB57" s="37" t="str">
        <f t="shared" si="13"/>
        <v>rokprognozy=2036 i lp=480</v>
      </c>
      <c r="AC57" s="37" t="str">
        <f t="shared" si="13"/>
        <v>rokprognozy=2037 i lp=480</v>
      </c>
      <c r="AD57" s="37" t="str">
        <f t="shared" si="10"/>
        <v>rokprognozy=2038 i lp=480</v>
      </c>
      <c r="AE57" s="37" t="str">
        <f t="shared" si="10"/>
        <v>rokprognozy=2039 i lp=480</v>
      </c>
      <c r="AF57" s="37" t="str">
        <f t="shared" si="10"/>
        <v>rokprognozy=2040 i lp=480</v>
      </c>
      <c r="AG57" s="37" t="str">
        <f t="shared" si="10"/>
        <v>rokprognozy=2041 i lp=480</v>
      </c>
      <c r="AH57" s="37" t="str">
        <f t="shared" si="11"/>
        <v>rokprognozy=2042 i lp=480</v>
      </c>
    </row>
    <row r="58" spans="1:34" ht="11.25">
      <c r="A58" s="36">
        <v>490</v>
      </c>
      <c r="B58" s="36">
        <v>9.5</v>
      </c>
      <c r="C58" s="37" t="s">
        <v>101</v>
      </c>
      <c r="D58" s="37" t="str">
        <f t="shared" si="3"/>
        <v>rokprognozy=2013 i lp=490</v>
      </c>
      <c r="E58" s="37" t="str">
        <f t="shared" si="12"/>
        <v>rokprognozy=2013 i lp=490</v>
      </c>
      <c r="F58" s="37" t="str">
        <f t="shared" si="12"/>
        <v>rokprognozy=2014 i lp=490</v>
      </c>
      <c r="G58" s="37" t="str">
        <f t="shared" si="12"/>
        <v>rokprognozy=2015 i lp=490</v>
      </c>
      <c r="H58" s="37" t="str">
        <f t="shared" si="12"/>
        <v>rokprognozy=2016 i lp=490</v>
      </c>
      <c r="I58" s="37" t="str">
        <f t="shared" si="12"/>
        <v>rokprognozy=2017 i lp=490</v>
      </c>
      <c r="J58" s="37" t="str">
        <f t="shared" si="12"/>
        <v>rokprognozy=2018 i lp=490</v>
      </c>
      <c r="K58" s="37" t="str">
        <f t="shared" si="12"/>
        <v>rokprognozy=2019 i lp=490</v>
      </c>
      <c r="L58" s="37" t="str">
        <f t="shared" si="12"/>
        <v>rokprognozy=2020 i lp=490</v>
      </c>
      <c r="M58" s="37" t="str">
        <f t="shared" si="12"/>
        <v>rokprognozy=2021 i lp=490</v>
      </c>
      <c r="N58" s="37" t="str">
        <f t="shared" si="13"/>
        <v>rokprognozy=2022 i lp=490</v>
      </c>
      <c r="O58" s="37" t="str">
        <f t="shared" si="13"/>
        <v>rokprognozy=2023 i lp=490</v>
      </c>
      <c r="P58" s="37" t="str">
        <f t="shared" si="13"/>
        <v>rokprognozy=2024 i lp=490</v>
      </c>
      <c r="Q58" s="37" t="str">
        <f t="shared" si="13"/>
        <v>rokprognozy=2025 i lp=490</v>
      </c>
      <c r="R58" s="37" t="str">
        <f t="shared" si="13"/>
        <v>rokprognozy=2026 i lp=490</v>
      </c>
      <c r="S58" s="37" t="str">
        <f t="shared" si="13"/>
        <v>rokprognozy=2027 i lp=490</v>
      </c>
      <c r="T58" s="37" t="str">
        <f t="shared" si="13"/>
        <v>rokprognozy=2028 i lp=490</v>
      </c>
      <c r="U58" s="37" t="str">
        <f t="shared" si="13"/>
        <v>rokprognozy=2029 i lp=490</v>
      </c>
      <c r="V58" s="37" t="str">
        <f t="shared" si="13"/>
        <v>rokprognozy=2030 i lp=490</v>
      </c>
      <c r="W58" s="37" t="str">
        <f t="shared" si="13"/>
        <v>rokprognozy=2031 i lp=490</v>
      </c>
      <c r="X58" s="37" t="str">
        <f t="shared" si="13"/>
        <v>rokprognozy=2032 i lp=490</v>
      </c>
      <c r="Y58" s="37" t="str">
        <f t="shared" si="13"/>
        <v>rokprognozy=2033 i lp=490</v>
      </c>
      <c r="Z58" s="37" t="str">
        <f t="shared" si="13"/>
        <v>rokprognozy=2034 i lp=490</v>
      </c>
      <c r="AA58" s="37" t="str">
        <f t="shared" si="13"/>
        <v>rokprognozy=2035 i lp=490</v>
      </c>
      <c r="AB58" s="37" t="str">
        <f t="shared" si="13"/>
        <v>rokprognozy=2036 i lp=490</v>
      </c>
      <c r="AC58" s="37" t="str">
        <f t="shared" si="13"/>
        <v>rokprognozy=2037 i lp=490</v>
      </c>
      <c r="AD58" s="37" t="str">
        <f t="shared" si="10"/>
        <v>rokprognozy=2038 i lp=490</v>
      </c>
      <c r="AE58" s="37" t="str">
        <f t="shared" si="10"/>
        <v>rokprognozy=2039 i lp=490</v>
      </c>
      <c r="AF58" s="37" t="str">
        <f t="shared" si="10"/>
        <v>rokprognozy=2040 i lp=490</v>
      </c>
      <c r="AG58" s="37" t="str">
        <f t="shared" si="10"/>
        <v>rokprognozy=2041 i lp=490</v>
      </c>
      <c r="AH58" s="37" t="str">
        <f t="shared" si="11"/>
        <v>rokprognozy=2042 i lp=490</v>
      </c>
    </row>
    <row r="59" spans="1:34" ht="11.25">
      <c r="A59" s="36">
        <v>500</v>
      </c>
      <c r="B59" s="36">
        <v>9.6</v>
      </c>
      <c r="C59" s="37" t="s">
        <v>102</v>
      </c>
      <c r="D59" s="37" t="str">
        <f t="shared" si="3"/>
        <v>rokprognozy=2013 i lp=500</v>
      </c>
      <c r="E59" s="37" t="str">
        <f t="shared" si="12"/>
        <v>rokprognozy=2013 i lp=500</v>
      </c>
      <c r="F59" s="37" t="str">
        <f t="shared" si="12"/>
        <v>rokprognozy=2014 i lp=500</v>
      </c>
      <c r="G59" s="37" t="str">
        <f t="shared" si="12"/>
        <v>rokprognozy=2015 i lp=500</v>
      </c>
      <c r="H59" s="37" t="str">
        <f t="shared" si="12"/>
        <v>rokprognozy=2016 i lp=500</v>
      </c>
      <c r="I59" s="37" t="str">
        <f t="shared" si="12"/>
        <v>rokprognozy=2017 i lp=500</v>
      </c>
      <c r="J59" s="37" t="str">
        <f t="shared" si="12"/>
        <v>rokprognozy=2018 i lp=500</v>
      </c>
      <c r="K59" s="37" t="str">
        <f t="shared" si="12"/>
        <v>rokprognozy=2019 i lp=500</v>
      </c>
      <c r="L59" s="37" t="str">
        <f t="shared" si="12"/>
        <v>rokprognozy=2020 i lp=500</v>
      </c>
      <c r="M59" s="37" t="str">
        <f t="shared" si="12"/>
        <v>rokprognozy=2021 i lp=500</v>
      </c>
      <c r="N59" s="37" t="str">
        <f t="shared" si="13"/>
        <v>rokprognozy=2022 i lp=500</v>
      </c>
      <c r="O59" s="37" t="str">
        <f t="shared" si="13"/>
        <v>rokprognozy=2023 i lp=500</v>
      </c>
      <c r="P59" s="37" t="str">
        <f t="shared" si="13"/>
        <v>rokprognozy=2024 i lp=500</v>
      </c>
      <c r="Q59" s="37" t="str">
        <f t="shared" si="13"/>
        <v>rokprognozy=2025 i lp=500</v>
      </c>
      <c r="R59" s="37" t="str">
        <f t="shared" si="13"/>
        <v>rokprognozy=2026 i lp=500</v>
      </c>
      <c r="S59" s="37" t="str">
        <f t="shared" si="13"/>
        <v>rokprognozy=2027 i lp=500</v>
      </c>
      <c r="T59" s="37" t="str">
        <f t="shared" si="13"/>
        <v>rokprognozy=2028 i lp=500</v>
      </c>
      <c r="U59" s="37" t="str">
        <f t="shared" si="13"/>
        <v>rokprognozy=2029 i lp=500</v>
      </c>
      <c r="V59" s="37" t="str">
        <f t="shared" si="13"/>
        <v>rokprognozy=2030 i lp=500</v>
      </c>
      <c r="W59" s="37" t="str">
        <f t="shared" si="13"/>
        <v>rokprognozy=2031 i lp=500</v>
      </c>
      <c r="X59" s="37" t="str">
        <f t="shared" si="13"/>
        <v>rokprognozy=2032 i lp=500</v>
      </c>
      <c r="Y59" s="37" t="str">
        <f t="shared" si="13"/>
        <v>rokprognozy=2033 i lp=500</v>
      </c>
      <c r="Z59" s="37" t="str">
        <f t="shared" si="13"/>
        <v>rokprognozy=2034 i lp=500</v>
      </c>
      <c r="AA59" s="37" t="str">
        <f t="shared" si="13"/>
        <v>rokprognozy=2035 i lp=500</v>
      </c>
      <c r="AB59" s="37" t="str">
        <f t="shared" si="13"/>
        <v>rokprognozy=2036 i lp=500</v>
      </c>
      <c r="AC59" s="37" t="str">
        <f t="shared" si="13"/>
        <v>rokprognozy=2037 i lp=500</v>
      </c>
      <c r="AD59" s="37" t="str">
        <f t="shared" si="10"/>
        <v>rokprognozy=2038 i lp=500</v>
      </c>
      <c r="AE59" s="37" t="str">
        <f t="shared" si="10"/>
        <v>rokprognozy=2039 i lp=500</v>
      </c>
      <c r="AF59" s="37" t="str">
        <f t="shared" si="10"/>
        <v>rokprognozy=2040 i lp=500</v>
      </c>
      <c r="AG59" s="37" t="str">
        <f t="shared" si="10"/>
        <v>rokprognozy=2041 i lp=500</v>
      </c>
      <c r="AH59" s="37" t="str">
        <f t="shared" si="11"/>
        <v>rokprognozy=2042 i lp=500</v>
      </c>
    </row>
    <row r="60" spans="1:34" ht="11.25">
      <c r="A60" s="36">
        <v>505</v>
      </c>
      <c r="B60" s="36" t="s">
        <v>103</v>
      </c>
      <c r="C60" s="37" t="s">
        <v>104</v>
      </c>
      <c r="D60" s="37" t="str">
        <f t="shared" si="3"/>
        <v>rokprognozy=2013 i lp=505</v>
      </c>
      <c r="E60" s="37" t="str">
        <f t="shared" si="12"/>
        <v>rokprognozy=2013 i lp=505</v>
      </c>
      <c r="F60" s="37" t="str">
        <f t="shared" si="12"/>
        <v>rokprognozy=2014 i lp=505</v>
      </c>
      <c r="G60" s="37" t="str">
        <f t="shared" si="12"/>
        <v>rokprognozy=2015 i lp=505</v>
      </c>
      <c r="H60" s="37" t="str">
        <f t="shared" si="12"/>
        <v>rokprognozy=2016 i lp=505</v>
      </c>
      <c r="I60" s="37" t="str">
        <f t="shared" si="12"/>
        <v>rokprognozy=2017 i lp=505</v>
      </c>
      <c r="J60" s="37" t="str">
        <f t="shared" si="12"/>
        <v>rokprognozy=2018 i lp=505</v>
      </c>
      <c r="K60" s="37" t="str">
        <f t="shared" si="12"/>
        <v>rokprognozy=2019 i lp=505</v>
      </c>
      <c r="L60" s="37" t="str">
        <f t="shared" si="12"/>
        <v>rokprognozy=2020 i lp=505</v>
      </c>
      <c r="M60" s="37" t="str">
        <f t="shared" si="12"/>
        <v>rokprognozy=2021 i lp=505</v>
      </c>
      <c r="N60" s="37" t="str">
        <f t="shared" si="13"/>
        <v>rokprognozy=2022 i lp=505</v>
      </c>
      <c r="O60" s="37" t="str">
        <f t="shared" si="13"/>
        <v>rokprognozy=2023 i lp=505</v>
      </c>
      <c r="P60" s="37" t="str">
        <f t="shared" si="13"/>
        <v>rokprognozy=2024 i lp=505</v>
      </c>
      <c r="Q60" s="37" t="str">
        <f t="shared" si="13"/>
        <v>rokprognozy=2025 i lp=505</v>
      </c>
      <c r="R60" s="37" t="str">
        <f t="shared" si="13"/>
        <v>rokprognozy=2026 i lp=505</v>
      </c>
      <c r="S60" s="37" t="str">
        <f t="shared" si="13"/>
        <v>rokprognozy=2027 i lp=505</v>
      </c>
      <c r="T60" s="37" t="str">
        <f t="shared" si="13"/>
        <v>rokprognozy=2028 i lp=505</v>
      </c>
      <c r="U60" s="37" t="str">
        <f t="shared" si="13"/>
        <v>rokprognozy=2029 i lp=505</v>
      </c>
      <c r="V60" s="37" t="str">
        <f t="shared" si="13"/>
        <v>rokprognozy=2030 i lp=505</v>
      </c>
      <c r="W60" s="37" t="str">
        <f t="shared" si="13"/>
        <v>rokprognozy=2031 i lp=505</v>
      </c>
      <c r="X60" s="37" t="str">
        <f t="shared" si="13"/>
        <v>rokprognozy=2032 i lp=505</v>
      </c>
      <c r="Y60" s="37" t="str">
        <f t="shared" si="13"/>
        <v>rokprognozy=2033 i lp=505</v>
      </c>
      <c r="Z60" s="37" t="str">
        <f t="shared" si="13"/>
        <v>rokprognozy=2034 i lp=505</v>
      </c>
      <c r="AA60" s="37" t="str">
        <f t="shared" si="13"/>
        <v>rokprognozy=2035 i lp=505</v>
      </c>
      <c r="AB60" s="37" t="str">
        <f t="shared" si="13"/>
        <v>rokprognozy=2036 i lp=505</v>
      </c>
      <c r="AC60" s="37" t="str">
        <f t="shared" si="13"/>
        <v>rokprognozy=2037 i lp=505</v>
      </c>
      <c r="AD60" s="37" t="str">
        <f aca="true" t="shared" si="14" ref="AD60:AH75">+"rokprognozy="&amp;AD$9&amp;" i lp="&amp;$A60</f>
        <v>rokprognozy=2038 i lp=505</v>
      </c>
      <c r="AE60" s="37" t="str">
        <f t="shared" si="14"/>
        <v>rokprognozy=2039 i lp=505</v>
      </c>
      <c r="AF60" s="37" t="str">
        <f t="shared" si="14"/>
        <v>rokprognozy=2040 i lp=505</v>
      </c>
      <c r="AG60" s="37" t="str">
        <f t="shared" si="14"/>
        <v>rokprognozy=2041 i lp=505</v>
      </c>
      <c r="AH60" s="37" t="str">
        <f t="shared" si="14"/>
        <v>rokprognozy=2042 i lp=505</v>
      </c>
    </row>
    <row r="61" spans="1:34" ht="11.25">
      <c r="A61" s="36">
        <v>510</v>
      </c>
      <c r="B61" s="36">
        <v>9.7</v>
      </c>
      <c r="C61" s="37" t="s">
        <v>105</v>
      </c>
      <c r="D61" s="37" t="str">
        <f t="shared" si="3"/>
        <v>rokprognozy=2013 i lp=510</v>
      </c>
      <c r="E61" s="37" t="str">
        <f t="shared" si="12"/>
        <v>rokprognozy=2013 i lp=510</v>
      </c>
      <c r="F61" s="37" t="str">
        <f t="shared" si="12"/>
        <v>rokprognozy=2014 i lp=510</v>
      </c>
      <c r="G61" s="37" t="str">
        <f t="shared" si="12"/>
        <v>rokprognozy=2015 i lp=510</v>
      </c>
      <c r="H61" s="37" t="str">
        <f t="shared" si="12"/>
        <v>rokprognozy=2016 i lp=510</v>
      </c>
      <c r="I61" s="37" t="str">
        <f t="shared" si="12"/>
        <v>rokprognozy=2017 i lp=510</v>
      </c>
      <c r="J61" s="37" t="str">
        <f t="shared" si="12"/>
        <v>rokprognozy=2018 i lp=510</v>
      </c>
      <c r="K61" s="37" t="str">
        <f t="shared" si="12"/>
        <v>rokprognozy=2019 i lp=510</v>
      </c>
      <c r="L61" s="37" t="str">
        <f t="shared" si="12"/>
        <v>rokprognozy=2020 i lp=510</v>
      </c>
      <c r="M61" s="37" t="str">
        <f t="shared" si="12"/>
        <v>rokprognozy=2021 i lp=510</v>
      </c>
      <c r="N61" s="37" t="str">
        <f t="shared" si="13"/>
        <v>rokprognozy=2022 i lp=510</v>
      </c>
      <c r="O61" s="37" t="str">
        <f t="shared" si="13"/>
        <v>rokprognozy=2023 i lp=510</v>
      </c>
      <c r="P61" s="37" t="str">
        <f t="shared" si="13"/>
        <v>rokprognozy=2024 i lp=510</v>
      </c>
      <c r="Q61" s="37" t="str">
        <f t="shared" si="13"/>
        <v>rokprognozy=2025 i lp=510</v>
      </c>
      <c r="R61" s="37" t="str">
        <f t="shared" si="13"/>
        <v>rokprognozy=2026 i lp=510</v>
      </c>
      <c r="S61" s="37" t="str">
        <f t="shared" si="13"/>
        <v>rokprognozy=2027 i lp=510</v>
      </c>
      <c r="T61" s="37" t="str">
        <f t="shared" si="13"/>
        <v>rokprognozy=2028 i lp=510</v>
      </c>
      <c r="U61" s="37" t="str">
        <f t="shared" si="13"/>
        <v>rokprognozy=2029 i lp=510</v>
      </c>
      <c r="V61" s="37" t="str">
        <f t="shared" si="13"/>
        <v>rokprognozy=2030 i lp=510</v>
      </c>
      <c r="W61" s="37" t="str">
        <f t="shared" si="13"/>
        <v>rokprognozy=2031 i lp=510</v>
      </c>
      <c r="X61" s="37" t="str">
        <f t="shared" si="13"/>
        <v>rokprognozy=2032 i lp=510</v>
      </c>
      <c r="Y61" s="37" t="str">
        <f t="shared" si="13"/>
        <v>rokprognozy=2033 i lp=510</v>
      </c>
      <c r="Z61" s="37" t="str">
        <f t="shared" si="13"/>
        <v>rokprognozy=2034 i lp=510</v>
      </c>
      <c r="AA61" s="37" t="str">
        <f t="shared" si="13"/>
        <v>rokprognozy=2035 i lp=510</v>
      </c>
      <c r="AB61" s="37" t="str">
        <f t="shared" si="13"/>
        <v>rokprognozy=2036 i lp=510</v>
      </c>
      <c r="AC61" s="37" t="str">
        <f t="shared" si="13"/>
        <v>rokprognozy=2037 i lp=510</v>
      </c>
      <c r="AD61" s="37" t="str">
        <f t="shared" si="14"/>
        <v>rokprognozy=2038 i lp=510</v>
      </c>
      <c r="AE61" s="37" t="str">
        <f t="shared" si="14"/>
        <v>rokprognozy=2039 i lp=510</v>
      </c>
      <c r="AF61" s="37" t="str">
        <f t="shared" si="14"/>
        <v>rokprognozy=2040 i lp=510</v>
      </c>
      <c r="AG61" s="37" t="str">
        <f t="shared" si="14"/>
        <v>rokprognozy=2041 i lp=510</v>
      </c>
      <c r="AH61" s="37" t="str">
        <f t="shared" si="14"/>
        <v>rokprognozy=2042 i lp=510</v>
      </c>
    </row>
    <row r="62" spans="1:34" ht="11.25">
      <c r="A62" s="36">
        <v>520</v>
      </c>
      <c r="B62" s="36" t="s">
        <v>106</v>
      </c>
      <c r="C62" s="37" t="s">
        <v>107</v>
      </c>
      <c r="D62" s="37" t="str">
        <f t="shared" si="3"/>
        <v>rokprognozy=2013 i lp=520</v>
      </c>
      <c r="E62" s="37" t="str">
        <f t="shared" si="12"/>
        <v>rokprognozy=2013 i lp=520</v>
      </c>
      <c r="F62" s="37" t="str">
        <f t="shared" si="12"/>
        <v>rokprognozy=2014 i lp=520</v>
      </c>
      <c r="G62" s="37" t="str">
        <f t="shared" si="12"/>
        <v>rokprognozy=2015 i lp=520</v>
      </c>
      <c r="H62" s="37" t="str">
        <f t="shared" si="12"/>
        <v>rokprognozy=2016 i lp=520</v>
      </c>
      <c r="I62" s="37" t="str">
        <f t="shared" si="12"/>
        <v>rokprognozy=2017 i lp=520</v>
      </c>
      <c r="J62" s="37" t="str">
        <f t="shared" si="12"/>
        <v>rokprognozy=2018 i lp=520</v>
      </c>
      <c r="K62" s="37" t="str">
        <f t="shared" si="12"/>
        <v>rokprognozy=2019 i lp=520</v>
      </c>
      <c r="L62" s="37" t="str">
        <f t="shared" si="12"/>
        <v>rokprognozy=2020 i lp=520</v>
      </c>
      <c r="M62" s="37" t="str">
        <f t="shared" si="12"/>
        <v>rokprognozy=2021 i lp=520</v>
      </c>
      <c r="N62" s="37" t="str">
        <f t="shared" si="13"/>
        <v>rokprognozy=2022 i lp=520</v>
      </c>
      <c r="O62" s="37" t="str">
        <f t="shared" si="13"/>
        <v>rokprognozy=2023 i lp=520</v>
      </c>
      <c r="P62" s="37" t="str">
        <f t="shared" si="13"/>
        <v>rokprognozy=2024 i lp=520</v>
      </c>
      <c r="Q62" s="37" t="str">
        <f t="shared" si="13"/>
        <v>rokprognozy=2025 i lp=520</v>
      </c>
      <c r="R62" s="37" t="str">
        <f t="shared" si="13"/>
        <v>rokprognozy=2026 i lp=520</v>
      </c>
      <c r="S62" s="37" t="str">
        <f t="shared" si="13"/>
        <v>rokprognozy=2027 i lp=520</v>
      </c>
      <c r="T62" s="37" t="str">
        <f t="shared" si="13"/>
        <v>rokprognozy=2028 i lp=520</v>
      </c>
      <c r="U62" s="37" t="str">
        <f t="shared" si="13"/>
        <v>rokprognozy=2029 i lp=520</v>
      </c>
      <c r="V62" s="37" t="str">
        <f t="shared" si="13"/>
        <v>rokprognozy=2030 i lp=520</v>
      </c>
      <c r="W62" s="37" t="str">
        <f t="shared" si="13"/>
        <v>rokprognozy=2031 i lp=520</v>
      </c>
      <c r="X62" s="37" t="str">
        <f t="shared" si="13"/>
        <v>rokprognozy=2032 i lp=520</v>
      </c>
      <c r="Y62" s="37" t="str">
        <f t="shared" si="13"/>
        <v>rokprognozy=2033 i lp=520</v>
      </c>
      <c r="Z62" s="37" t="str">
        <f t="shared" si="13"/>
        <v>rokprognozy=2034 i lp=520</v>
      </c>
      <c r="AA62" s="37" t="str">
        <f t="shared" si="13"/>
        <v>rokprognozy=2035 i lp=520</v>
      </c>
      <c r="AB62" s="37" t="str">
        <f t="shared" si="13"/>
        <v>rokprognozy=2036 i lp=520</v>
      </c>
      <c r="AC62" s="37" t="str">
        <f t="shared" si="13"/>
        <v>rokprognozy=2037 i lp=520</v>
      </c>
      <c r="AD62" s="37" t="str">
        <f t="shared" si="14"/>
        <v>rokprognozy=2038 i lp=520</v>
      </c>
      <c r="AE62" s="37" t="str">
        <f t="shared" si="14"/>
        <v>rokprognozy=2039 i lp=520</v>
      </c>
      <c r="AF62" s="37" t="str">
        <f t="shared" si="14"/>
        <v>rokprognozy=2040 i lp=520</v>
      </c>
      <c r="AG62" s="37" t="str">
        <f t="shared" si="14"/>
        <v>rokprognozy=2041 i lp=520</v>
      </c>
      <c r="AH62" s="37" t="str">
        <f t="shared" si="14"/>
        <v>rokprognozy=2042 i lp=520</v>
      </c>
    </row>
    <row r="63" spans="1:34" ht="11.25">
      <c r="A63" s="36">
        <v>530</v>
      </c>
      <c r="B63" s="36">
        <v>9.8</v>
      </c>
      <c r="C63" s="37" t="s">
        <v>108</v>
      </c>
      <c r="D63" s="37" t="str">
        <f t="shared" si="3"/>
        <v>rokprognozy=2013 i lp=530</v>
      </c>
      <c r="E63" s="37" t="str">
        <f t="shared" si="12"/>
        <v>rokprognozy=2013 i lp=530</v>
      </c>
      <c r="F63" s="37" t="str">
        <f t="shared" si="12"/>
        <v>rokprognozy=2014 i lp=530</v>
      </c>
      <c r="G63" s="37" t="str">
        <f t="shared" si="12"/>
        <v>rokprognozy=2015 i lp=530</v>
      </c>
      <c r="H63" s="37" t="str">
        <f t="shared" si="12"/>
        <v>rokprognozy=2016 i lp=530</v>
      </c>
      <c r="I63" s="37" t="str">
        <f t="shared" si="12"/>
        <v>rokprognozy=2017 i lp=530</v>
      </c>
      <c r="J63" s="37" t="str">
        <f t="shared" si="12"/>
        <v>rokprognozy=2018 i lp=530</v>
      </c>
      <c r="K63" s="37" t="str">
        <f t="shared" si="12"/>
        <v>rokprognozy=2019 i lp=530</v>
      </c>
      <c r="L63" s="37" t="str">
        <f t="shared" si="12"/>
        <v>rokprognozy=2020 i lp=530</v>
      </c>
      <c r="M63" s="37" t="str">
        <f t="shared" si="12"/>
        <v>rokprognozy=2021 i lp=530</v>
      </c>
      <c r="N63" s="37" t="str">
        <f t="shared" si="13"/>
        <v>rokprognozy=2022 i lp=530</v>
      </c>
      <c r="O63" s="37" t="str">
        <f t="shared" si="13"/>
        <v>rokprognozy=2023 i lp=530</v>
      </c>
      <c r="P63" s="37" t="str">
        <f t="shared" si="13"/>
        <v>rokprognozy=2024 i lp=530</v>
      </c>
      <c r="Q63" s="37" t="str">
        <f t="shared" si="13"/>
        <v>rokprognozy=2025 i lp=530</v>
      </c>
      <c r="R63" s="37" t="str">
        <f t="shared" si="13"/>
        <v>rokprognozy=2026 i lp=530</v>
      </c>
      <c r="S63" s="37" t="str">
        <f t="shared" si="13"/>
        <v>rokprognozy=2027 i lp=530</v>
      </c>
      <c r="T63" s="37" t="str">
        <f t="shared" si="13"/>
        <v>rokprognozy=2028 i lp=530</v>
      </c>
      <c r="U63" s="37" t="str">
        <f t="shared" si="13"/>
        <v>rokprognozy=2029 i lp=530</v>
      </c>
      <c r="V63" s="37" t="str">
        <f t="shared" si="13"/>
        <v>rokprognozy=2030 i lp=530</v>
      </c>
      <c r="W63" s="37" t="str">
        <f t="shared" si="13"/>
        <v>rokprognozy=2031 i lp=530</v>
      </c>
      <c r="X63" s="37" t="str">
        <f t="shared" si="13"/>
        <v>rokprognozy=2032 i lp=530</v>
      </c>
      <c r="Y63" s="37" t="str">
        <f t="shared" si="13"/>
        <v>rokprognozy=2033 i lp=530</v>
      </c>
      <c r="Z63" s="37" t="str">
        <f t="shared" si="13"/>
        <v>rokprognozy=2034 i lp=530</v>
      </c>
      <c r="AA63" s="37" t="str">
        <f t="shared" si="13"/>
        <v>rokprognozy=2035 i lp=530</v>
      </c>
      <c r="AB63" s="37" t="str">
        <f t="shared" si="13"/>
        <v>rokprognozy=2036 i lp=530</v>
      </c>
      <c r="AC63" s="37" t="str">
        <f t="shared" si="13"/>
        <v>rokprognozy=2037 i lp=530</v>
      </c>
      <c r="AD63" s="37" t="str">
        <f t="shared" si="14"/>
        <v>rokprognozy=2038 i lp=530</v>
      </c>
      <c r="AE63" s="37" t="str">
        <f t="shared" si="14"/>
        <v>rokprognozy=2039 i lp=530</v>
      </c>
      <c r="AF63" s="37" t="str">
        <f t="shared" si="14"/>
        <v>rokprognozy=2040 i lp=530</v>
      </c>
      <c r="AG63" s="37" t="str">
        <f t="shared" si="14"/>
        <v>rokprognozy=2041 i lp=530</v>
      </c>
      <c r="AH63" s="37" t="str">
        <f t="shared" si="14"/>
        <v>rokprognozy=2042 i lp=530</v>
      </c>
    </row>
    <row r="64" spans="1:34" ht="11.25">
      <c r="A64" s="36">
        <v>540</v>
      </c>
      <c r="B64" s="36" t="s">
        <v>109</v>
      </c>
      <c r="C64" s="37" t="s">
        <v>110</v>
      </c>
      <c r="D64" s="37" t="str">
        <f t="shared" si="3"/>
        <v>rokprognozy=2013 i lp=540</v>
      </c>
      <c r="E64" s="37" t="str">
        <f t="shared" si="12"/>
        <v>rokprognozy=2013 i lp=540</v>
      </c>
      <c r="F64" s="37" t="str">
        <f t="shared" si="12"/>
        <v>rokprognozy=2014 i lp=540</v>
      </c>
      <c r="G64" s="37" t="str">
        <f t="shared" si="12"/>
        <v>rokprognozy=2015 i lp=540</v>
      </c>
      <c r="H64" s="37" t="str">
        <f t="shared" si="12"/>
        <v>rokprognozy=2016 i lp=540</v>
      </c>
      <c r="I64" s="37" t="str">
        <f t="shared" si="12"/>
        <v>rokprognozy=2017 i lp=540</v>
      </c>
      <c r="J64" s="37" t="str">
        <f t="shared" si="12"/>
        <v>rokprognozy=2018 i lp=540</v>
      </c>
      <c r="K64" s="37" t="str">
        <f t="shared" si="12"/>
        <v>rokprognozy=2019 i lp=540</v>
      </c>
      <c r="L64" s="37" t="str">
        <f t="shared" si="12"/>
        <v>rokprognozy=2020 i lp=540</v>
      </c>
      <c r="M64" s="37" t="str">
        <f t="shared" si="12"/>
        <v>rokprognozy=2021 i lp=540</v>
      </c>
      <c r="N64" s="37" t="str">
        <f t="shared" si="13"/>
        <v>rokprognozy=2022 i lp=540</v>
      </c>
      <c r="O64" s="37" t="str">
        <f t="shared" si="13"/>
        <v>rokprognozy=2023 i lp=540</v>
      </c>
      <c r="P64" s="37" t="str">
        <f t="shared" si="13"/>
        <v>rokprognozy=2024 i lp=540</v>
      </c>
      <c r="Q64" s="37" t="str">
        <f t="shared" si="13"/>
        <v>rokprognozy=2025 i lp=540</v>
      </c>
      <c r="R64" s="37" t="str">
        <f t="shared" si="13"/>
        <v>rokprognozy=2026 i lp=540</v>
      </c>
      <c r="S64" s="37" t="str">
        <f t="shared" si="13"/>
        <v>rokprognozy=2027 i lp=540</v>
      </c>
      <c r="T64" s="37" t="str">
        <f t="shared" si="13"/>
        <v>rokprognozy=2028 i lp=540</v>
      </c>
      <c r="U64" s="37" t="str">
        <f t="shared" si="13"/>
        <v>rokprognozy=2029 i lp=540</v>
      </c>
      <c r="V64" s="37" t="str">
        <f t="shared" si="13"/>
        <v>rokprognozy=2030 i lp=540</v>
      </c>
      <c r="W64" s="37" t="str">
        <f t="shared" si="13"/>
        <v>rokprognozy=2031 i lp=540</v>
      </c>
      <c r="X64" s="37" t="str">
        <f t="shared" si="13"/>
        <v>rokprognozy=2032 i lp=540</v>
      </c>
      <c r="Y64" s="37" t="str">
        <f t="shared" si="13"/>
        <v>rokprognozy=2033 i lp=540</v>
      </c>
      <c r="Z64" s="37" t="str">
        <f t="shared" si="13"/>
        <v>rokprognozy=2034 i lp=540</v>
      </c>
      <c r="AA64" s="37" t="str">
        <f t="shared" si="13"/>
        <v>rokprognozy=2035 i lp=540</v>
      </c>
      <c r="AB64" s="37" t="str">
        <f t="shared" si="13"/>
        <v>rokprognozy=2036 i lp=540</v>
      </c>
      <c r="AC64" s="37" t="str">
        <f t="shared" si="13"/>
        <v>rokprognozy=2037 i lp=540</v>
      </c>
      <c r="AD64" s="37" t="str">
        <f t="shared" si="14"/>
        <v>rokprognozy=2038 i lp=540</v>
      </c>
      <c r="AE64" s="37" t="str">
        <f t="shared" si="14"/>
        <v>rokprognozy=2039 i lp=540</v>
      </c>
      <c r="AF64" s="37" t="str">
        <f t="shared" si="14"/>
        <v>rokprognozy=2040 i lp=540</v>
      </c>
      <c r="AG64" s="37" t="str">
        <f t="shared" si="14"/>
        <v>rokprognozy=2041 i lp=540</v>
      </c>
      <c r="AH64" s="37" t="str">
        <f t="shared" si="14"/>
        <v>rokprognozy=2042 i lp=540</v>
      </c>
    </row>
    <row r="65" spans="1:34" ht="11.25">
      <c r="A65" s="36">
        <v>550</v>
      </c>
      <c r="B65" s="36">
        <v>10</v>
      </c>
      <c r="C65" s="37" t="s">
        <v>111</v>
      </c>
      <c r="D65" s="37" t="str">
        <f t="shared" si="3"/>
        <v>rokprognozy=2013 i lp=550</v>
      </c>
      <c r="E65" s="37" t="str">
        <f t="shared" si="12"/>
        <v>rokprognozy=2013 i lp=550</v>
      </c>
      <c r="F65" s="37" t="str">
        <f t="shared" si="12"/>
        <v>rokprognozy=2014 i lp=550</v>
      </c>
      <c r="G65" s="37" t="str">
        <f t="shared" si="12"/>
        <v>rokprognozy=2015 i lp=550</v>
      </c>
      <c r="H65" s="37" t="str">
        <f t="shared" si="12"/>
        <v>rokprognozy=2016 i lp=550</v>
      </c>
      <c r="I65" s="37" t="str">
        <f t="shared" si="12"/>
        <v>rokprognozy=2017 i lp=550</v>
      </c>
      <c r="J65" s="37" t="str">
        <f t="shared" si="12"/>
        <v>rokprognozy=2018 i lp=550</v>
      </c>
      <c r="K65" s="37" t="str">
        <f t="shared" si="12"/>
        <v>rokprognozy=2019 i lp=550</v>
      </c>
      <c r="L65" s="37" t="str">
        <f t="shared" si="12"/>
        <v>rokprognozy=2020 i lp=550</v>
      </c>
      <c r="M65" s="37" t="str">
        <f t="shared" si="12"/>
        <v>rokprognozy=2021 i lp=550</v>
      </c>
      <c r="N65" s="37" t="str">
        <f t="shared" si="13"/>
        <v>rokprognozy=2022 i lp=550</v>
      </c>
      <c r="O65" s="37" t="str">
        <f t="shared" si="13"/>
        <v>rokprognozy=2023 i lp=550</v>
      </c>
      <c r="P65" s="37" t="str">
        <f t="shared" si="13"/>
        <v>rokprognozy=2024 i lp=550</v>
      </c>
      <c r="Q65" s="37" t="str">
        <f t="shared" si="13"/>
        <v>rokprognozy=2025 i lp=550</v>
      </c>
      <c r="R65" s="37" t="str">
        <f t="shared" si="13"/>
        <v>rokprognozy=2026 i lp=550</v>
      </c>
      <c r="S65" s="37" t="str">
        <f t="shared" si="13"/>
        <v>rokprognozy=2027 i lp=550</v>
      </c>
      <c r="T65" s="37" t="str">
        <f t="shared" si="13"/>
        <v>rokprognozy=2028 i lp=550</v>
      </c>
      <c r="U65" s="37" t="str">
        <f t="shared" si="13"/>
        <v>rokprognozy=2029 i lp=550</v>
      </c>
      <c r="V65" s="37" t="str">
        <f t="shared" si="13"/>
        <v>rokprognozy=2030 i lp=550</v>
      </c>
      <c r="W65" s="37" t="str">
        <f t="shared" si="13"/>
        <v>rokprognozy=2031 i lp=550</v>
      </c>
      <c r="X65" s="37" t="str">
        <f t="shared" si="13"/>
        <v>rokprognozy=2032 i lp=550</v>
      </c>
      <c r="Y65" s="37" t="str">
        <f t="shared" si="13"/>
        <v>rokprognozy=2033 i lp=550</v>
      </c>
      <c r="Z65" s="37" t="str">
        <f t="shared" si="13"/>
        <v>rokprognozy=2034 i lp=550</v>
      </c>
      <c r="AA65" s="37" t="str">
        <f t="shared" si="13"/>
        <v>rokprognozy=2035 i lp=550</v>
      </c>
      <c r="AB65" s="37" t="str">
        <f t="shared" si="13"/>
        <v>rokprognozy=2036 i lp=550</v>
      </c>
      <c r="AC65" s="37" t="str">
        <f t="shared" si="13"/>
        <v>rokprognozy=2037 i lp=550</v>
      </c>
      <c r="AD65" s="37" t="str">
        <f t="shared" si="14"/>
        <v>rokprognozy=2038 i lp=550</v>
      </c>
      <c r="AE65" s="37" t="str">
        <f t="shared" si="14"/>
        <v>rokprognozy=2039 i lp=550</v>
      </c>
      <c r="AF65" s="37" t="str">
        <f t="shared" si="14"/>
        <v>rokprognozy=2040 i lp=550</v>
      </c>
      <c r="AG65" s="37" t="str">
        <f t="shared" si="14"/>
        <v>rokprognozy=2041 i lp=550</v>
      </c>
      <c r="AH65" s="37" t="str">
        <f t="shared" si="14"/>
        <v>rokprognozy=2042 i lp=550</v>
      </c>
    </row>
    <row r="66" spans="1:34" ht="11.25">
      <c r="A66" s="36">
        <v>560</v>
      </c>
      <c r="B66" s="36">
        <v>10.1</v>
      </c>
      <c r="C66" s="37" t="s">
        <v>112</v>
      </c>
      <c r="D66" s="37" t="str">
        <f t="shared" si="3"/>
        <v>rokprognozy=2013 i lp=560</v>
      </c>
      <c r="E66" s="37" t="str">
        <f t="shared" si="12"/>
        <v>rokprognozy=2013 i lp=560</v>
      </c>
      <c r="F66" s="37" t="str">
        <f t="shared" si="12"/>
        <v>rokprognozy=2014 i lp=560</v>
      </c>
      <c r="G66" s="37" t="str">
        <f t="shared" si="12"/>
        <v>rokprognozy=2015 i lp=560</v>
      </c>
      <c r="H66" s="37" t="str">
        <f t="shared" si="12"/>
        <v>rokprognozy=2016 i lp=560</v>
      </c>
      <c r="I66" s="37" t="str">
        <f t="shared" si="12"/>
        <v>rokprognozy=2017 i lp=560</v>
      </c>
      <c r="J66" s="37" t="str">
        <f t="shared" si="12"/>
        <v>rokprognozy=2018 i lp=560</v>
      </c>
      <c r="K66" s="37" t="str">
        <f t="shared" si="12"/>
        <v>rokprognozy=2019 i lp=560</v>
      </c>
      <c r="L66" s="37" t="str">
        <f t="shared" si="12"/>
        <v>rokprognozy=2020 i lp=560</v>
      </c>
      <c r="M66" s="37" t="str">
        <f t="shared" si="12"/>
        <v>rokprognozy=2021 i lp=560</v>
      </c>
      <c r="N66" s="37" t="str">
        <f t="shared" si="13"/>
        <v>rokprognozy=2022 i lp=560</v>
      </c>
      <c r="O66" s="37" t="str">
        <f t="shared" si="13"/>
        <v>rokprognozy=2023 i lp=560</v>
      </c>
      <c r="P66" s="37" t="str">
        <f t="shared" si="13"/>
        <v>rokprognozy=2024 i lp=560</v>
      </c>
      <c r="Q66" s="37" t="str">
        <f t="shared" si="13"/>
        <v>rokprognozy=2025 i lp=560</v>
      </c>
      <c r="R66" s="37" t="str">
        <f t="shared" si="13"/>
        <v>rokprognozy=2026 i lp=560</v>
      </c>
      <c r="S66" s="37" t="str">
        <f t="shared" si="13"/>
        <v>rokprognozy=2027 i lp=560</v>
      </c>
      <c r="T66" s="37" t="str">
        <f t="shared" si="13"/>
        <v>rokprognozy=2028 i lp=560</v>
      </c>
      <c r="U66" s="37" t="str">
        <f t="shared" si="13"/>
        <v>rokprognozy=2029 i lp=560</v>
      </c>
      <c r="V66" s="37" t="str">
        <f t="shared" si="13"/>
        <v>rokprognozy=2030 i lp=560</v>
      </c>
      <c r="W66" s="37" t="str">
        <f t="shared" si="13"/>
        <v>rokprognozy=2031 i lp=560</v>
      </c>
      <c r="X66" s="37" t="str">
        <f t="shared" si="13"/>
        <v>rokprognozy=2032 i lp=560</v>
      </c>
      <c r="Y66" s="37" t="str">
        <f t="shared" si="13"/>
        <v>rokprognozy=2033 i lp=560</v>
      </c>
      <c r="Z66" s="37" t="str">
        <f t="shared" si="13"/>
        <v>rokprognozy=2034 i lp=560</v>
      </c>
      <c r="AA66" s="37" t="str">
        <f t="shared" si="13"/>
        <v>rokprognozy=2035 i lp=560</v>
      </c>
      <c r="AB66" s="37" t="str">
        <f t="shared" si="13"/>
        <v>rokprognozy=2036 i lp=560</v>
      </c>
      <c r="AC66" s="37" t="str">
        <f t="shared" si="13"/>
        <v>rokprognozy=2037 i lp=560</v>
      </c>
      <c r="AD66" s="37" t="str">
        <f t="shared" si="14"/>
        <v>rokprognozy=2038 i lp=560</v>
      </c>
      <c r="AE66" s="37" t="str">
        <f t="shared" si="14"/>
        <v>rokprognozy=2039 i lp=560</v>
      </c>
      <c r="AF66" s="37" t="str">
        <f t="shared" si="14"/>
        <v>rokprognozy=2040 i lp=560</v>
      </c>
      <c r="AG66" s="37" t="str">
        <f t="shared" si="14"/>
        <v>rokprognozy=2041 i lp=560</v>
      </c>
      <c r="AH66" s="37" t="str">
        <f t="shared" si="14"/>
        <v>rokprognozy=2042 i lp=560</v>
      </c>
    </row>
    <row r="67" spans="1:34" ht="11.25">
      <c r="A67" s="36">
        <v>570</v>
      </c>
      <c r="B67" s="36">
        <v>11</v>
      </c>
      <c r="C67" s="37" t="s">
        <v>113</v>
      </c>
      <c r="D67" s="37" t="str">
        <f t="shared" si="3"/>
        <v>rokprognozy=2013 i lp=570</v>
      </c>
      <c r="E67" s="37" t="str">
        <f t="shared" si="12"/>
        <v>rokprognozy=2013 i lp=570</v>
      </c>
      <c r="F67" s="37" t="str">
        <f t="shared" si="12"/>
        <v>rokprognozy=2014 i lp=570</v>
      </c>
      <c r="G67" s="37" t="str">
        <f t="shared" si="12"/>
        <v>rokprognozy=2015 i lp=570</v>
      </c>
      <c r="H67" s="37" t="str">
        <f t="shared" si="12"/>
        <v>rokprognozy=2016 i lp=570</v>
      </c>
      <c r="I67" s="37" t="str">
        <f t="shared" si="12"/>
        <v>rokprognozy=2017 i lp=570</v>
      </c>
      <c r="J67" s="37" t="str">
        <f t="shared" si="12"/>
        <v>rokprognozy=2018 i lp=570</v>
      </c>
      <c r="K67" s="37" t="str">
        <f t="shared" si="12"/>
        <v>rokprognozy=2019 i lp=570</v>
      </c>
      <c r="L67" s="37" t="str">
        <f t="shared" si="12"/>
        <v>rokprognozy=2020 i lp=570</v>
      </c>
      <c r="M67" s="37" t="str">
        <f t="shared" si="12"/>
        <v>rokprognozy=2021 i lp=570</v>
      </c>
      <c r="N67" s="37" t="str">
        <f t="shared" si="13"/>
        <v>rokprognozy=2022 i lp=570</v>
      </c>
      <c r="O67" s="37" t="str">
        <f t="shared" si="13"/>
        <v>rokprognozy=2023 i lp=570</v>
      </c>
      <c r="P67" s="37" t="str">
        <f t="shared" si="13"/>
        <v>rokprognozy=2024 i lp=570</v>
      </c>
      <c r="Q67" s="37" t="str">
        <f t="shared" si="13"/>
        <v>rokprognozy=2025 i lp=570</v>
      </c>
      <c r="R67" s="37" t="str">
        <f t="shared" si="13"/>
        <v>rokprognozy=2026 i lp=570</v>
      </c>
      <c r="S67" s="37" t="str">
        <f t="shared" si="13"/>
        <v>rokprognozy=2027 i lp=570</v>
      </c>
      <c r="T67" s="37" t="str">
        <f t="shared" si="13"/>
        <v>rokprognozy=2028 i lp=570</v>
      </c>
      <c r="U67" s="37" t="str">
        <f t="shared" si="13"/>
        <v>rokprognozy=2029 i lp=570</v>
      </c>
      <c r="V67" s="37" t="str">
        <f t="shared" si="13"/>
        <v>rokprognozy=2030 i lp=570</v>
      </c>
      <c r="W67" s="37" t="str">
        <f t="shared" si="13"/>
        <v>rokprognozy=2031 i lp=570</v>
      </c>
      <c r="X67" s="37" t="str">
        <f t="shared" si="13"/>
        <v>rokprognozy=2032 i lp=570</v>
      </c>
      <c r="Y67" s="37" t="str">
        <f t="shared" si="13"/>
        <v>rokprognozy=2033 i lp=570</v>
      </c>
      <c r="Z67" s="37" t="str">
        <f t="shared" si="13"/>
        <v>rokprognozy=2034 i lp=570</v>
      </c>
      <c r="AA67" s="37" t="str">
        <f t="shared" si="13"/>
        <v>rokprognozy=2035 i lp=570</v>
      </c>
      <c r="AB67" s="37" t="str">
        <f t="shared" si="13"/>
        <v>rokprognozy=2036 i lp=570</v>
      </c>
      <c r="AC67" s="37" t="str">
        <f t="shared" si="13"/>
        <v>rokprognozy=2037 i lp=570</v>
      </c>
      <c r="AD67" s="37" t="str">
        <f t="shared" si="14"/>
        <v>rokprognozy=2038 i lp=570</v>
      </c>
      <c r="AE67" s="37" t="str">
        <f t="shared" si="14"/>
        <v>rokprognozy=2039 i lp=570</v>
      </c>
      <c r="AF67" s="37" t="str">
        <f t="shared" si="14"/>
        <v>rokprognozy=2040 i lp=570</v>
      </c>
      <c r="AG67" s="37" t="str">
        <f t="shared" si="14"/>
        <v>rokprognozy=2041 i lp=570</v>
      </c>
      <c r="AH67" s="37" t="str">
        <f t="shared" si="14"/>
        <v>rokprognozy=2042 i lp=570</v>
      </c>
    </row>
    <row r="68" spans="1:34" ht="11.25">
      <c r="A68" s="36">
        <v>580</v>
      </c>
      <c r="B68" s="36">
        <v>11.1</v>
      </c>
      <c r="C68" s="37" t="s">
        <v>114</v>
      </c>
      <c r="D68" s="37" t="str">
        <f t="shared" si="3"/>
        <v>rokprognozy=2013 i lp=580</v>
      </c>
      <c r="E68" s="37" t="str">
        <f t="shared" si="12"/>
        <v>rokprognozy=2013 i lp=580</v>
      </c>
      <c r="F68" s="37" t="str">
        <f t="shared" si="12"/>
        <v>rokprognozy=2014 i lp=580</v>
      </c>
      <c r="G68" s="37" t="str">
        <f t="shared" si="12"/>
        <v>rokprognozy=2015 i lp=580</v>
      </c>
      <c r="H68" s="37" t="str">
        <f t="shared" si="12"/>
        <v>rokprognozy=2016 i lp=580</v>
      </c>
      <c r="I68" s="37" t="str">
        <f t="shared" si="12"/>
        <v>rokprognozy=2017 i lp=580</v>
      </c>
      <c r="J68" s="37" t="str">
        <f t="shared" si="12"/>
        <v>rokprognozy=2018 i lp=580</v>
      </c>
      <c r="K68" s="37" t="str">
        <f t="shared" si="12"/>
        <v>rokprognozy=2019 i lp=580</v>
      </c>
      <c r="L68" s="37" t="str">
        <f t="shared" si="12"/>
        <v>rokprognozy=2020 i lp=580</v>
      </c>
      <c r="M68" s="37" t="str">
        <f t="shared" si="12"/>
        <v>rokprognozy=2021 i lp=580</v>
      </c>
      <c r="N68" s="37" t="str">
        <f t="shared" si="13"/>
        <v>rokprognozy=2022 i lp=580</v>
      </c>
      <c r="O68" s="37" t="str">
        <f t="shared" si="13"/>
        <v>rokprognozy=2023 i lp=580</v>
      </c>
      <c r="P68" s="37" t="str">
        <f t="shared" si="13"/>
        <v>rokprognozy=2024 i lp=580</v>
      </c>
      <c r="Q68" s="37" t="str">
        <f t="shared" si="13"/>
        <v>rokprognozy=2025 i lp=580</v>
      </c>
      <c r="R68" s="37" t="str">
        <f t="shared" si="13"/>
        <v>rokprognozy=2026 i lp=580</v>
      </c>
      <c r="S68" s="37" t="str">
        <f t="shared" si="13"/>
        <v>rokprognozy=2027 i lp=580</v>
      </c>
      <c r="T68" s="37" t="str">
        <f t="shared" si="13"/>
        <v>rokprognozy=2028 i lp=580</v>
      </c>
      <c r="U68" s="37" t="str">
        <f t="shared" si="13"/>
        <v>rokprognozy=2029 i lp=580</v>
      </c>
      <c r="V68" s="37" t="str">
        <f t="shared" si="13"/>
        <v>rokprognozy=2030 i lp=580</v>
      </c>
      <c r="W68" s="37" t="str">
        <f t="shared" si="13"/>
        <v>rokprognozy=2031 i lp=580</v>
      </c>
      <c r="X68" s="37" t="str">
        <f t="shared" si="13"/>
        <v>rokprognozy=2032 i lp=580</v>
      </c>
      <c r="Y68" s="37" t="str">
        <f t="shared" si="13"/>
        <v>rokprognozy=2033 i lp=580</v>
      </c>
      <c r="Z68" s="37" t="str">
        <f t="shared" si="13"/>
        <v>rokprognozy=2034 i lp=580</v>
      </c>
      <c r="AA68" s="37" t="str">
        <f t="shared" si="13"/>
        <v>rokprognozy=2035 i lp=580</v>
      </c>
      <c r="AB68" s="37" t="str">
        <f t="shared" si="13"/>
        <v>rokprognozy=2036 i lp=580</v>
      </c>
      <c r="AC68" s="37" t="str">
        <f t="shared" si="13"/>
        <v>rokprognozy=2037 i lp=580</v>
      </c>
      <c r="AD68" s="37" t="str">
        <f t="shared" si="14"/>
        <v>rokprognozy=2038 i lp=580</v>
      </c>
      <c r="AE68" s="37" t="str">
        <f t="shared" si="14"/>
        <v>rokprognozy=2039 i lp=580</v>
      </c>
      <c r="AF68" s="37" t="str">
        <f t="shared" si="14"/>
        <v>rokprognozy=2040 i lp=580</v>
      </c>
      <c r="AG68" s="37" t="str">
        <f t="shared" si="14"/>
        <v>rokprognozy=2041 i lp=580</v>
      </c>
      <c r="AH68" s="37" t="str">
        <f t="shared" si="14"/>
        <v>rokprognozy=2042 i lp=580</v>
      </c>
    </row>
    <row r="69" spans="1:34" ht="11.25">
      <c r="A69" s="36">
        <v>590</v>
      </c>
      <c r="B69" s="36">
        <v>11.2</v>
      </c>
      <c r="C69" s="37" t="s">
        <v>115</v>
      </c>
      <c r="D69" s="37" t="str">
        <f t="shared" si="3"/>
        <v>rokprognozy=2013 i lp=590</v>
      </c>
      <c r="E69" s="37" t="str">
        <f aca="true" t="shared" si="15" ref="E69:T84">+"rokprognozy="&amp;E$9&amp;" i lp="&amp;$A69</f>
        <v>rokprognozy=2013 i lp=590</v>
      </c>
      <c r="F69" s="37" t="str">
        <f t="shared" si="15"/>
        <v>rokprognozy=2014 i lp=590</v>
      </c>
      <c r="G69" s="37" t="str">
        <f t="shared" si="15"/>
        <v>rokprognozy=2015 i lp=590</v>
      </c>
      <c r="H69" s="37" t="str">
        <f t="shared" si="15"/>
        <v>rokprognozy=2016 i lp=590</v>
      </c>
      <c r="I69" s="37" t="str">
        <f t="shared" si="15"/>
        <v>rokprognozy=2017 i lp=590</v>
      </c>
      <c r="J69" s="37" t="str">
        <f t="shared" si="15"/>
        <v>rokprognozy=2018 i lp=590</v>
      </c>
      <c r="K69" s="37" t="str">
        <f t="shared" si="15"/>
        <v>rokprognozy=2019 i lp=590</v>
      </c>
      <c r="L69" s="37" t="str">
        <f t="shared" si="15"/>
        <v>rokprognozy=2020 i lp=590</v>
      </c>
      <c r="M69" s="37" t="str">
        <f t="shared" si="15"/>
        <v>rokprognozy=2021 i lp=590</v>
      </c>
      <c r="N69" s="37" t="str">
        <f t="shared" si="13"/>
        <v>rokprognozy=2022 i lp=590</v>
      </c>
      <c r="O69" s="37" t="str">
        <f t="shared" si="13"/>
        <v>rokprognozy=2023 i lp=590</v>
      </c>
      <c r="P69" s="37" t="str">
        <f t="shared" si="13"/>
        <v>rokprognozy=2024 i lp=590</v>
      </c>
      <c r="Q69" s="37" t="str">
        <f t="shared" si="13"/>
        <v>rokprognozy=2025 i lp=590</v>
      </c>
      <c r="R69" s="37" t="str">
        <f t="shared" si="13"/>
        <v>rokprognozy=2026 i lp=590</v>
      </c>
      <c r="S69" s="37" t="str">
        <f t="shared" si="13"/>
        <v>rokprognozy=2027 i lp=590</v>
      </c>
      <c r="T69" s="37" t="str">
        <f t="shared" si="13"/>
        <v>rokprognozy=2028 i lp=590</v>
      </c>
      <c r="U69" s="37" t="str">
        <f t="shared" si="13"/>
        <v>rokprognozy=2029 i lp=590</v>
      </c>
      <c r="V69" s="37" t="str">
        <f t="shared" si="13"/>
        <v>rokprognozy=2030 i lp=590</v>
      </c>
      <c r="W69" s="37" t="str">
        <f t="shared" si="13"/>
        <v>rokprognozy=2031 i lp=590</v>
      </c>
      <c r="X69" s="37" t="str">
        <f t="shared" si="13"/>
        <v>rokprognozy=2032 i lp=590</v>
      </c>
      <c r="Y69" s="37" t="str">
        <f t="shared" si="13"/>
        <v>rokprognozy=2033 i lp=590</v>
      </c>
      <c r="Z69" s="37" t="str">
        <f t="shared" si="13"/>
        <v>rokprognozy=2034 i lp=590</v>
      </c>
      <c r="AA69" s="37" t="str">
        <f t="shared" si="13"/>
        <v>rokprognozy=2035 i lp=590</v>
      </c>
      <c r="AB69" s="37" t="str">
        <f t="shared" si="13"/>
        <v>rokprognozy=2036 i lp=590</v>
      </c>
      <c r="AC69" s="37" t="str">
        <f t="shared" si="13"/>
        <v>rokprognozy=2037 i lp=590</v>
      </c>
      <c r="AD69" s="37" t="str">
        <f t="shared" si="14"/>
        <v>rokprognozy=2038 i lp=590</v>
      </c>
      <c r="AE69" s="37" t="str">
        <f t="shared" si="14"/>
        <v>rokprognozy=2039 i lp=590</v>
      </c>
      <c r="AF69" s="37" t="str">
        <f t="shared" si="14"/>
        <v>rokprognozy=2040 i lp=590</v>
      </c>
      <c r="AG69" s="37" t="str">
        <f t="shared" si="14"/>
        <v>rokprognozy=2041 i lp=590</v>
      </c>
      <c r="AH69" s="37" t="str">
        <f t="shared" si="14"/>
        <v>rokprognozy=2042 i lp=590</v>
      </c>
    </row>
    <row r="70" spans="1:34" ht="11.25">
      <c r="A70" s="36">
        <v>600</v>
      </c>
      <c r="B70" s="36">
        <v>11.3</v>
      </c>
      <c r="C70" s="37" t="s">
        <v>116</v>
      </c>
      <c r="D70" s="37" t="str">
        <f t="shared" si="3"/>
        <v>rokprognozy=2013 i lp=600</v>
      </c>
      <c r="E70" s="37" t="str">
        <f t="shared" si="15"/>
        <v>rokprognozy=2013 i lp=600</v>
      </c>
      <c r="F70" s="37" t="str">
        <f t="shared" si="15"/>
        <v>rokprognozy=2014 i lp=600</v>
      </c>
      <c r="G70" s="37" t="str">
        <f t="shared" si="15"/>
        <v>rokprognozy=2015 i lp=600</v>
      </c>
      <c r="H70" s="37" t="str">
        <f t="shared" si="15"/>
        <v>rokprognozy=2016 i lp=600</v>
      </c>
      <c r="I70" s="37" t="str">
        <f t="shared" si="15"/>
        <v>rokprognozy=2017 i lp=600</v>
      </c>
      <c r="J70" s="37" t="str">
        <f t="shared" si="15"/>
        <v>rokprognozy=2018 i lp=600</v>
      </c>
      <c r="K70" s="37" t="str">
        <f t="shared" si="15"/>
        <v>rokprognozy=2019 i lp=600</v>
      </c>
      <c r="L70" s="37" t="str">
        <f t="shared" si="15"/>
        <v>rokprognozy=2020 i lp=600</v>
      </c>
      <c r="M70" s="37" t="str">
        <f t="shared" si="15"/>
        <v>rokprognozy=2021 i lp=600</v>
      </c>
      <c r="N70" s="37" t="str">
        <f t="shared" si="13"/>
        <v>rokprognozy=2022 i lp=600</v>
      </c>
      <c r="O70" s="37" t="str">
        <f t="shared" si="13"/>
        <v>rokprognozy=2023 i lp=600</v>
      </c>
      <c r="P70" s="37" t="str">
        <f t="shared" si="13"/>
        <v>rokprognozy=2024 i lp=600</v>
      </c>
      <c r="Q70" s="37" t="str">
        <f t="shared" si="13"/>
        <v>rokprognozy=2025 i lp=600</v>
      </c>
      <c r="R70" s="37" t="str">
        <f t="shared" si="13"/>
        <v>rokprognozy=2026 i lp=600</v>
      </c>
      <c r="S70" s="37" t="str">
        <f t="shared" si="13"/>
        <v>rokprognozy=2027 i lp=600</v>
      </c>
      <c r="T70" s="37" t="str">
        <f t="shared" si="13"/>
        <v>rokprognozy=2028 i lp=600</v>
      </c>
      <c r="U70" s="37" t="str">
        <f t="shared" si="13"/>
        <v>rokprognozy=2029 i lp=600</v>
      </c>
      <c r="V70" s="37" t="str">
        <f t="shared" si="13"/>
        <v>rokprognozy=2030 i lp=600</v>
      </c>
      <c r="W70" s="37" t="str">
        <f t="shared" si="13"/>
        <v>rokprognozy=2031 i lp=600</v>
      </c>
      <c r="X70" s="37" t="str">
        <f t="shared" si="13"/>
        <v>rokprognozy=2032 i lp=600</v>
      </c>
      <c r="Y70" s="37" t="str">
        <f t="shared" si="13"/>
        <v>rokprognozy=2033 i lp=600</v>
      </c>
      <c r="Z70" s="37" t="str">
        <f t="shared" si="13"/>
        <v>rokprognozy=2034 i lp=600</v>
      </c>
      <c r="AA70" s="37" t="str">
        <f t="shared" si="13"/>
        <v>rokprognozy=2035 i lp=600</v>
      </c>
      <c r="AB70" s="37" t="str">
        <f t="shared" si="13"/>
        <v>rokprognozy=2036 i lp=600</v>
      </c>
      <c r="AC70" s="37" t="str">
        <f t="shared" si="13"/>
        <v>rokprognozy=2037 i lp=600</v>
      </c>
      <c r="AD70" s="37" t="str">
        <f t="shared" si="14"/>
        <v>rokprognozy=2038 i lp=600</v>
      </c>
      <c r="AE70" s="37" t="str">
        <f t="shared" si="14"/>
        <v>rokprognozy=2039 i lp=600</v>
      </c>
      <c r="AF70" s="37" t="str">
        <f t="shared" si="14"/>
        <v>rokprognozy=2040 i lp=600</v>
      </c>
      <c r="AG70" s="37" t="str">
        <f t="shared" si="14"/>
        <v>rokprognozy=2041 i lp=600</v>
      </c>
      <c r="AH70" s="37" t="str">
        <f t="shared" si="14"/>
        <v>rokprognozy=2042 i lp=600</v>
      </c>
    </row>
    <row r="71" spans="1:34" ht="11.25">
      <c r="A71" s="36">
        <v>610</v>
      </c>
      <c r="B71" s="36" t="s">
        <v>117</v>
      </c>
      <c r="C71" s="37" t="s">
        <v>118</v>
      </c>
      <c r="D71" s="37" t="str">
        <f t="shared" si="3"/>
        <v>rokprognozy=2013 i lp=610</v>
      </c>
      <c r="E71" s="37" t="str">
        <f t="shared" si="15"/>
        <v>rokprognozy=2013 i lp=610</v>
      </c>
      <c r="F71" s="37" t="str">
        <f t="shared" si="15"/>
        <v>rokprognozy=2014 i lp=610</v>
      </c>
      <c r="G71" s="37" t="str">
        <f t="shared" si="15"/>
        <v>rokprognozy=2015 i lp=610</v>
      </c>
      <c r="H71" s="37" t="str">
        <f t="shared" si="15"/>
        <v>rokprognozy=2016 i lp=610</v>
      </c>
      <c r="I71" s="37" t="str">
        <f t="shared" si="15"/>
        <v>rokprognozy=2017 i lp=610</v>
      </c>
      <c r="J71" s="37" t="str">
        <f t="shared" si="15"/>
        <v>rokprognozy=2018 i lp=610</v>
      </c>
      <c r="K71" s="37" t="str">
        <f t="shared" si="15"/>
        <v>rokprognozy=2019 i lp=610</v>
      </c>
      <c r="L71" s="37" t="str">
        <f t="shared" si="15"/>
        <v>rokprognozy=2020 i lp=610</v>
      </c>
      <c r="M71" s="37" t="str">
        <f t="shared" si="15"/>
        <v>rokprognozy=2021 i lp=610</v>
      </c>
      <c r="N71" s="37" t="str">
        <f t="shared" si="13"/>
        <v>rokprognozy=2022 i lp=610</v>
      </c>
      <c r="O71" s="37" t="str">
        <f t="shared" si="13"/>
        <v>rokprognozy=2023 i lp=610</v>
      </c>
      <c r="P71" s="37" t="str">
        <f t="shared" si="13"/>
        <v>rokprognozy=2024 i lp=610</v>
      </c>
      <c r="Q71" s="37" t="str">
        <f t="shared" si="13"/>
        <v>rokprognozy=2025 i lp=610</v>
      </c>
      <c r="R71" s="37" t="str">
        <f t="shared" si="13"/>
        <v>rokprognozy=2026 i lp=610</v>
      </c>
      <c r="S71" s="37" t="str">
        <f t="shared" si="13"/>
        <v>rokprognozy=2027 i lp=610</v>
      </c>
      <c r="T71" s="37" t="str">
        <f t="shared" si="13"/>
        <v>rokprognozy=2028 i lp=610</v>
      </c>
      <c r="U71" s="37" t="str">
        <f t="shared" si="13"/>
        <v>rokprognozy=2029 i lp=610</v>
      </c>
      <c r="V71" s="37" t="str">
        <f t="shared" si="13"/>
        <v>rokprognozy=2030 i lp=610</v>
      </c>
      <c r="W71" s="37" t="str">
        <f t="shared" si="13"/>
        <v>rokprognozy=2031 i lp=610</v>
      </c>
      <c r="X71" s="37" t="str">
        <f t="shared" si="13"/>
        <v>rokprognozy=2032 i lp=610</v>
      </c>
      <c r="Y71" s="37" t="str">
        <f t="shared" si="13"/>
        <v>rokprognozy=2033 i lp=610</v>
      </c>
      <c r="Z71" s="37" t="str">
        <f t="shared" si="13"/>
        <v>rokprognozy=2034 i lp=610</v>
      </c>
      <c r="AA71" s="37" t="str">
        <f t="shared" si="13"/>
        <v>rokprognozy=2035 i lp=610</v>
      </c>
      <c r="AB71" s="37" t="str">
        <f t="shared" si="13"/>
        <v>rokprognozy=2036 i lp=610</v>
      </c>
      <c r="AC71" s="37" t="str">
        <f t="shared" si="13"/>
        <v>rokprognozy=2037 i lp=610</v>
      </c>
      <c r="AD71" s="37" t="str">
        <f t="shared" si="14"/>
        <v>rokprognozy=2038 i lp=610</v>
      </c>
      <c r="AE71" s="37" t="str">
        <f t="shared" si="14"/>
        <v>rokprognozy=2039 i lp=610</v>
      </c>
      <c r="AF71" s="37" t="str">
        <f t="shared" si="14"/>
        <v>rokprognozy=2040 i lp=610</v>
      </c>
      <c r="AG71" s="37" t="str">
        <f t="shared" si="14"/>
        <v>rokprognozy=2041 i lp=610</v>
      </c>
      <c r="AH71" s="37" t="str">
        <f t="shared" si="14"/>
        <v>rokprognozy=2042 i lp=610</v>
      </c>
    </row>
    <row r="72" spans="1:34" ht="11.25">
      <c r="A72" s="36">
        <v>620</v>
      </c>
      <c r="B72" s="36" t="s">
        <v>119</v>
      </c>
      <c r="C72" s="37" t="s">
        <v>120</v>
      </c>
      <c r="D72" s="37" t="str">
        <f t="shared" si="3"/>
        <v>rokprognozy=2013 i lp=620</v>
      </c>
      <c r="E72" s="37" t="str">
        <f t="shared" si="15"/>
        <v>rokprognozy=2013 i lp=620</v>
      </c>
      <c r="F72" s="37" t="str">
        <f t="shared" si="15"/>
        <v>rokprognozy=2014 i lp=620</v>
      </c>
      <c r="G72" s="37" t="str">
        <f t="shared" si="15"/>
        <v>rokprognozy=2015 i lp=620</v>
      </c>
      <c r="H72" s="37" t="str">
        <f t="shared" si="15"/>
        <v>rokprognozy=2016 i lp=620</v>
      </c>
      <c r="I72" s="37" t="str">
        <f t="shared" si="15"/>
        <v>rokprognozy=2017 i lp=620</v>
      </c>
      <c r="J72" s="37" t="str">
        <f t="shared" si="15"/>
        <v>rokprognozy=2018 i lp=620</v>
      </c>
      <c r="K72" s="37" t="str">
        <f t="shared" si="15"/>
        <v>rokprognozy=2019 i lp=620</v>
      </c>
      <c r="L72" s="37" t="str">
        <f t="shared" si="15"/>
        <v>rokprognozy=2020 i lp=620</v>
      </c>
      <c r="M72" s="37" t="str">
        <f t="shared" si="15"/>
        <v>rokprognozy=2021 i lp=620</v>
      </c>
      <c r="N72" s="37" t="str">
        <f t="shared" si="15"/>
        <v>rokprognozy=2022 i lp=620</v>
      </c>
      <c r="O72" s="37" t="str">
        <f t="shared" si="15"/>
        <v>rokprognozy=2023 i lp=620</v>
      </c>
      <c r="P72" s="37" t="str">
        <f t="shared" si="15"/>
        <v>rokprognozy=2024 i lp=620</v>
      </c>
      <c r="Q72" s="37" t="str">
        <f t="shared" si="15"/>
        <v>rokprognozy=2025 i lp=620</v>
      </c>
      <c r="R72" s="37" t="str">
        <f t="shared" si="15"/>
        <v>rokprognozy=2026 i lp=620</v>
      </c>
      <c r="S72" s="37" t="str">
        <f t="shared" si="15"/>
        <v>rokprognozy=2027 i lp=620</v>
      </c>
      <c r="T72" s="37" t="str">
        <f t="shared" si="15"/>
        <v>rokprognozy=2028 i lp=620</v>
      </c>
      <c r="U72" s="37" t="str">
        <f aca="true" t="shared" si="16" ref="N72:AC87">+"rokprognozy="&amp;U$9&amp;" i lp="&amp;$A72</f>
        <v>rokprognozy=2029 i lp=620</v>
      </c>
      <c r="V72" s="37" t="str">
        <f t="shared" si="16"/>
        <v>rokprognozy=2030 i lp=620</v>
      </c>
      <c r="W72" s="37" t="str">
        <f t="shared" si="16"/>
        <v>rokprognozy=2031 i lp=620</v>
      </c>
      <c r="X72" s="37" t="str">
        <f t="shared" si="16"/>
        <v>rokprognozy=2032 i lp=620</v>
      </c>
      <c r="Y72" s="37" t="str">
        <f t="shared" si="16"/>
        <v>rokprognozy=2033 i lp=620</v>
      </c>
      <c r="Z72" s="37" t="str">
        <f t="shared" si="16"/>
        <v>rokprognozy=2034 i lp=620</v>
      </c>
      <c r="AA72" s="37" t="str">
        <f t="shared" si="16"/>
        <v>rokprognozy=2035 i lp=620</v>
      </c>
      <c r="AB72" s="37" t="str">
        <f t="shared" si="16"/>
        <v>rokprognozy=2036 i lp=620</v>
      </c>
      <c r="AC72" s="37" t="str">
        <f t="shared" si="16"/>
        <v>rokprognozy=2037 i lp=620</v>
      </c>
      <c r="AD72" s="37" t="str">
        <f t="shared" si="14"/>
        <v>rokprognozy=2038 i lp=620</v>
      </c>
      <c r="AE72" s="37" t="str">
        <f t="shared" si="14"/>
        <v>rokprognozy=2039 i lp=620</v>
      </c>
      <c r="AF72" s="37" t="str">
        <f t="shared" si="14"/>
        <v>rokprognozy=2040 i lp=620</v>
      </c>
      <c r="AG72" s="37" t="str">
        <f t="shared" si="14"/>
        <v>rokprognozy=2041 i lp=620</v>
      </c>
      <c r="AH72" s="37" t="str">
        <f t="shared" si="14"/>
        <v>rokprognozy=2042 i lp=620</v>
      </c>
    </row>
    <row r="73" spans="1:34" ht="11.25">
      <c r="A73" s="36">
        <v>630</v>
      </c>
      <c r="B73" s="36">
        <v>11.4</v>
      </c>
      <c r="C73" s="37" t="s">
        <v>121</v>
      </c>
      <c r="D73" s="37" t="str">
        <f t="shared" si="3"/>
        <v>rokprognozy=2013 i lp=630</v>
      </c>
      <c r="E73" s="37" t="str">
        <f t="shared" si="15"/>
        <v>rokprognozy=2013 i lp=630</v>
      </c>
      <c r="F73" s="37" t="str">
        <f t="shared" si="15"/>
        <v>rokprognozy=2014 i lp=630</v>
      </c>
      <c r="G73" s="37" t="str">
        <f t="shared" si="15"/>
        <v>rokprognozy=2015 i lp=630</v>
      </c>
      <c r="H73" s="37" t="str">
        <f t="shared" si="15"/>
        <v>rokprognozy=2016 i lp=630</v>
      </c>
      <c r="I73" s="37" t="str">
        <f t="shared" si="15"/>
        <v>rokprognozy=2017 i lp=630</v>
      </c>
      <c r="J73" s="37" t="str">
        <f t="shared" si="15"/>
        <v>rokprognozy=2018 i lp=630</v>
      </c>
      <c r="K73" s="37" t="str">
        <f t="shared" si="15"/>
        <v>rokprognozy=2019 i lp=630</v>
      </c>
      <c r="L73" s="37" t="str">
        <f t="shared" si="15"/>
        <v>rokprognozy=2020 i lp=630</v>
      </c>
      <c r="M73" s="37" t="str">
        <f t="shared" si="15"/>
        <v>rokprognozy=2021 i lp=630</v>
      </c>
      <c r="N73" s="37" t="str">
        <f t="shared" si="16"/>
        <v>rokprognozy=2022 i lp=630</v>
      </c>
      <c r="O73" s="37" t="str">
        <f t="shared" si="16"/>
        <v>rokprognozy=2023 i lp=630</v>
      </c>
      <c r="P73" s="37" t="str">
        <f t="shared" si="16"/>
        <v>rokprognozy=2024 i lp=630</v>
      </c>
      <c r="Q73" s="37" t="str">
        <f t="shared" si="16"/>
        <v>rokprognozy=2025 i lp=630</v>
      </c>
      <c r="R73" s="37" t="str">
        <f t="shared" si="16"/>
        <v>rokprognozy=2026 i lp=630</v>
      </c>
      <c r="S73" s="37" t="str">
        <f t="shared" si="16"/>
        <v>rokprognozy=2027 i lp=630</v>
      </c>
      <c r="T73" s="37" t="str">
        <f t="shared" si="16"/>
        <v>rokprognozy=2028 i lp=630</v>
      </c>
      <c r="U73" s="37" t="str">
        <f t="shared" si="16"/>
        <v>rokprognozy=2029 i lp=630</v>
      </c>
      <c r="V73" s="37" t="str">
        <f t="shared" si="16"/>
        <v>rokprognozy=2030 i lp=630</v>
      </c>
      <c r="W73" s="37" t="str">
        <f t="shared" si="16"/>
        <v>rokprognozy=2031 i lp=630</v>
      </c>
      <c r="X73" s="37" t="str">
        <f t="shared" si="16"/>
        <v>rokprognozy=2032 i lp=630</v>
      </c>
      <c r="Y73" s="37" t="str">
        <f t="shared" si="16"/>
        <v>rokprognozy=2033 i lp=630</v>
      </c>
      <c r="Z73" s="37" t="str">
        <f t="shared" si="16"/>
        <v>rokprognozy=2034 i lp=630</v>
      </c>
      <c r="AA73" s="37" t="str">
        <f t="shared" si="16"/>
        <v>rokprognozy=2035 i lp=630</v>
      </c>
      <c r="AB73" s="37" t="str">
        <f t="shared" si="16"/>
        <v>rokprognozy=2036 i lp=630</v>
      </c>
      <c r="AC73" s="37" t="str">
        <f t="shared" si="16"/>
        <v>rokprognozy=2037 i lp=630</v>
      </c>
      <c r="AD73" s="37" t="str">
        <f t="shared" si="14"/>
        <v>rokprognozy=2038 i lp=630</v>
      </c>
      <c r="AE73" s="37" t="str">
        <f t="shared" si="14"/>
        <v>rokprognozy=2039 i lp=630</v>
      </c>
      <c r="AF73" s="37" t="str">
        <f t="shared" si="14"/>
        <v>rokprognozy=2040 i lp=630</v>
      </c>
      <c r="AG73" s="37" t="str">
        <f t="shared" si="14"/>
        <v>rokprognozy=2041 i lp=630</v>
      </c>
      <c r="AH73" s="37" t="str">
        <f t="shared" si="14"/>
        <v>rokprognozy=2042 i lp=630</v>
      </c>
    </row>
    <row r="74" spans="1:34" ht="11.25">
      <c r="A74" s="36">
        <v>640</v>
      </c>
      <c r="B74" s="36">
        <v>11.5</v>
      </c>
      <c r="C74" s="37" t="s">
        <v>122</v>
      </c>
      <c r="D74" s="37" t="str">
        <f t="shared" si="3"/>
        <v>rokprognozy=2013 i lp=640</v>
      </c>
      <c r="E74" s="37" t="str">
        <f t="shared" si="15"/>
        <v>rokprognozy=2013 i lp=640</v>
      </c>
      <c r="F74" s="37" t="str">
        <f t="shared" si="15"/>
        <v>rokprognozy=2014 i lp=640</v>
      </c>
      <c r="G74" s="37" t="str">
        <f t="shared" si="15"/>
        <v>rokprognozy=2015 i lp=640</v>
      </c>
      <c r="H74" s="37" t="str">
        <f t="shared" si="15"/>
        <v>rokprognozy=2016 i lp=640</v>
      </c>
      <c r="I74" s="37" t="str">
        <f t="shared" si="15"/>
        <v>rokprognozy=2017 i lp=640</v>
      </c>
      <c r="J74" s="37" t="str">
        <f t="shared" si="15"/>
        <v>rokprognozy=2018 i lp=640</v>
      </c>
      <c r="K74" s="37" t="str">
        <f t="shared" si="15"/>
        <v>rokprognozy=2019 i lp=640</v>
      </c>
      <c r="L74" s="37" t="str">
        <f t="shared" si="15"/>
        <v>rokprognozy=2020 i lp=640</v>
      </c>
      <c r="M74" s="37" t="str">
        <f t="shared" si="15"/>
        <v>rokprognozy=2021 i lp=640</v>
      </c>
      <c r="N74" s="37" t="str">
        <f t="shared" si="16"/>
        <v>rokprognozy=2022 i lp=640</v>
      </c>
      <c r="O74" s="37" t="str">
        <f t="shared" si="16"/>
        <v>rokprognozy=2023 i lp=640</v>
      </c>
      <c r="P74" s="37" t="str">
        <f t="shared" si="16"/>
        <v>rokprognozy=2024 i lp=640</v>
      </c>
      <c r="Q74" s="37" t="str">
        <f t="shared" si="16"/>
        <v>rokprognozy=2025 i lp=640</v>
      </c>
      <c r="R74" s="37" t="str">
        <f t="shared" si="16"/>
        <v>rokprognozy=2026 i lp=640</v>
      </c>
      <c r="S74" s="37" t="str">
        <f t="shared" si="16"/>
        <v>rokprognozy=2027 i lp=640</v>
      </c>
      <c r="T74" s="37" t="str">
        <f t="shared" si="16"/>
        <v>rokprognozy=2028 i lp=640</v>
      </c>
      <c r="U74" s="37" t="str">
        <f t="shared" si="16"/>
        <v>rokprognozy=2029 i lp=640</v>
      </c>
      <c r="V74" s="37" t="str">
        <f t="shared" si="16"/>
        <v>rokprognozy=2030 i lp=640</v>
      </c>
      <c r="W74" s="37" t="str">
        <f t="shared" si="16"/>
        <v>rokprognozy=2031 i lp=640</v>
      </c>
      <c r="X74" s="37" t="str">
        <f t="shared" si="16"/>
        <v>rokprognozy=2032 i lp=640</v>
      </c>
      <c r="Y74" s="37" t="str">
        <f t="shared" si="16"/>
        <v>rokprognozy=2033 i lp=640</v>
      </c>
      <c r="Z74" s="37" t="str">
        <f t="shared" si="16"/>
        <v>rokprognozy=2034 i lp=640</v>
      </c>
      <c r="AA74" s="37" t="str">
        <f t="shared" si="16"/>
        <v>rokprognozy=2035 i lp=640</v>
      </c>
      <c r="AB74" s="37" t="str">
        <f t="shared" si="16"/>
        <v>rokprognozy=2036 i lp=640</v>
      </c>
      <c r="AC74" s="37" t="str">
        <f t="shared" si="16"/>
        <v>rokprognozy=2037 i lp=640</v>
      </c>
      <c r="AD74" s="37" t="str">
        <f t="shared" si="14"/>
        <v>rokprognozy=2038 i lp=640</v>
      </c>
      <c r="AE74" s="37" t="str">
        <f t="shared" si="14"/>
        <v>rokprognozy=2039 i lp=640</v>
      </c>
      <c r="AF74" s="37" t="str">
        <f t="shared" si="14"/>
        <v>rokprognozy=2040 i lp=640</v>
      </c>
      <c r="AG74" s="37" t="str">
        <f t="shared" si="14"/>
        <v>rokprognozy=2041 i lp=640</v>
      </c>
      <c r="AH74" s="37" t="str">
        <f t="shared" si="14"/>
        <v>rokprognozy=2042 i lp=640</v>
      </c>
    </row>
    <row r="75" spans="1:34" ht="11.25">
      <c r="A75" s="36">
        <v>650</v>
      </c>
      <c r="B75" s="36">
        <v>11.6</v>
      </c>
      <c r="C75" s="37" t="s">
        <v>123</v>
      </c>
      <c r="D75" s="37" t="str">
        <f t="shared" si="3"/>
        <v>rokprognozy=2013 i lp=650</v>
      </c>
      <c r="E75" s="37" t="str">
        <f t="shared" si="15"/>
        <v>rokprognozy=2013 i lp=650</v>
      </c>
      <c r="F75" s="37" t="str">
        <f t="shared" si="15"/>
        <v>rokprognozy=2014 i lp=650</v>
      </c>
      <c r="G75" s="37" t="str">
        <f t="shared" si="15"/>
        <v>rokprognozy=2015 i lp=650</v>
      </c>
      <c r="H75" s="37" t="str">
        <f t="shared" si="15"/>
        <v>rokprognozy=2016 i lp=650</v>
      </c>
      <c r="I75" s="37" t="str">
        <f t="shared" si="15"/>
        <v>rokprognozy=2017 i lp=650</v>
      </c>
      <c r="J75" s="37" t="str">
        <f t="shared" si="15"/>
        <v>rokprognozy=2018 i lp=650</v>
      </c>
      <c r="K75" s="37" t="str">
        <f t="shared" si="15"/>
        <v>rokprognozy=2019 i lp=650</v>
      </c>
      <c r="L75" s="37" t="str">
        <f t="shared" si="15"/>
        <v>rokprognozy=2020 i lp=650</v>
      </c>
      <c r="M75" s="37" t="str">
        <f t="shared" si="15"/>
        <v>rokprognozy=2021 i lp=650</v>
      </c>
      <c r="N75" s="37" t="str">
        <f t="shared" si="16"/>
        <v>rokprognozy=2022 i lp=650</v>
      </c>
      <c r="O75" s="37" t="str">
        <f t="shared" si="16"/>
        <v>rokprognozy=2023 i lp=650</v>
      </c>
      <c r="P75" s="37" t="str">
        <f t="shared" si="16"/>
        <v>rokprognozy=2024 i lp=650</v>
      </c>
      <c r="Q75" s="37" t="str">
        <f t="shared" si="16"/>
        <v>rokprognozy=2025 i lp=650</v>
      </c>
      <c r="R75" s="37" t="str">
        <f t="shared" si="16"/>
        <v>rokprognozy=2026 i lp=650</v>
      </c>
      <c r="S75" s="37" t="str">
        <f t="shared" si="16"/>
        <v>rokprognozy=2027 i lp=650</v>
      </c>
      <c r="T75" s="37" t="str">
        <f t="shared" si="16"/>
        <v>rokprognozy=2028 i lp=650</v>
      </c>
      <c r="U75" s="37" t="str">
        <f t="shared" si="16"/>
        <v>rokprognozy=2029 i lp=650</v>
      </c>
      <c r="V75" s="37" t="str">
        <f t="shared" si="16"/>
        <v>rokprognozy=2030 i lp=650</v>
      </c>
      <c r="W75" s="37" t="str">
        <f t="shared" si="16"/>
        <v>rokprognozy=2031 i lp=650</v>
      </c>
      <c r="X75" s="37" t="str">
        <f t="shared" si="16"/>
        <v>rokprognozy=2032 i lp=650</v>
      </c>
      <c r="Y75" s="37" t="str">
        <f t="shared" si="16"/>
        <v>rokprognozy=2033 i lp=650</v>
      </c>
      <c r="Z75" s="37" t="str">
        <f t="shared" si="16"/>
        <v>rokprognozy=2034 i lp=650</v>
      </c>
      <c r="AA75" s="37" t="str">
        <f t="shared" si="16"/>
        <v>rokprognozy=2035 i lp=650</v>
      </c>
      <c r="AB75" s="37" t="str">
        <f t="shared" si="16"/>
        <v>rokprognozy=2036 i lp=650</v>
      </c>
      <c r="AC75" s="37" t="str">
        <f t="shared" si="16"/>
        <v>rokprognozy=2037 i lp=650</v>
      </c>
      <c r="AD75" s="37" t="str">
        <f t="shared" si="14"/>
        <v>rokprognozy=2038 i lp=650</v>
      </c>
      <c r="AE75" s="37" t="str">
        <f t="shared" si="14"/>
        <v>rokprognozy=2039 i lp=650</v>
      </c>
      <c r="AF75" s="37" t="str">
        <f t="shared" si="14"/>
        <v>rokprognozy=2040 i lp=650</v>
      </c>
      <c r="AG75" s="37" t="str">
        <f t="shared" si="14"/>
        <v>rokprognozy=2041 i lp=650</v>
      </c>
      <c r="AH75" s="37" t="str">
        <f t="shared" si="14"/>
        <v>rokprognozy=2042 i lp=650</v>
      </c>
    </row>
    <row r="76" spans="1:34" ht="11.25">
      <c r="A76" s="36">
        <v>660</v>
      </c>
      <c r="B76" s="36">
        <v>12</v>
      </c>
      <c r="C76" s="37" t="s">
        <v>124</v>
      </c>
      <c r="D76" s="37" t="str">
        <f aca="true" t="shared" si="17" ref="D76:D104">+"rokprognozy="&amp;D$9&amp;" i lp="&amp;$A76</f>
        <v>rokprognozy=2013 i lp=660</v>
      </c>
      <c r="E76" s="37" t="str">
        <f t="shared" si="15"/>
        <v>rokprognozy=2013 i lp=660</v>
      </c>
      <c r="F76" s="37" t="str">
        <f t="shared" si="15"/>
        <v>rokprognozy=2014 i lp=660</v>
      </c>
      <c r="G76" s="37" t="str">
        <f t="shared" si="15"/>
        <v>rokprognozy=2015 i lp=660</v>
      </c>
      <c r="H76" s="37" t="str">
        <f t="shared" si="15"/>
        <v>rokprognozy=2016 i lp=660</v>
      </c>
      <c r="I76" s="37" t="str">
        <f t="shared" si="15"/>
        <v>rokprognozy=2017 i lp=660</v>
      </c>
      <c r="J76" s="37" t="str">
        <f t="shared" si="15"/>
        <v>rokprognozy=2018 i lp=660</v>
      </c>
      <c r="K76" s="37" t="str">
        <f t="shared" si="15"/>
        <v>rokprognozy=2019 i lp=660</v>
      </c>
      <c r="L76" s="37" t="str">
        <f t="shared" si="15"/>
        <v>rokprognozy=2020 i lp=660</v>
      </c>
      <c r="M76" s="37" t="str">
        <f t="shared" si="15"/>
        <v>rokprognozy=2021 i lp=660</v>
      </c>
      <c r="N76" s="37" t="str">
        <f t="shared" si="16"/>
        <v>rokprognozy=2022 i lp=660</v>
      </c>
      <c r="O76" s="37" t="str">
        <f t="shared" si="16"/>
        <v>rokprognozy=2023 i lp=660</v>
      </c>
      <c r="P76" s="37" t="str">
        <f t="shared" si="16"/>
        <v>rokprognozy=2024 i lp=660</v>
      </c>
      <c r="Q76" s="37" t="str">
        <f t="shared" si="16"/>
        <v>rokprognozy=2025 i lp=660</v>
      </c>
      <c r="R76" s="37" t="str">
        <f t="shared" si="16"/>
        <v>rokprognozy=2026 i lp=660</v>
      </c>
      <c r="S76" s="37" t="str">
        <f t="shared" si="16"/>
        <v>rokprognozy=2027 i lp=660</v>
      </c>
      <c r="T76" s="37" t="str">
        <f t="shared" si="16"/>
        <v>rokprognozy=2028 i lp=660</v>
      </c>
      <c r="U76" s="37" t="str">
        <f t="shared" si="16"/>
        <v>rokprognozy=2029 i lp=660</v>
      </c>
      <c r="V76" s="37" t="str">
        <f t="shared" si="16"/>
        <v>rokprognozy=2030 i lp=660</v>
      </c>
      <c r="W76" s="37" t="str">
        <f t="shared" si="16"/>
        <v>rokprognozy=2031 i lp=660</v>
      </c>
      <c r="X76" s="37" t="str">
        <f t="shared" si="16"/>
        <v>rokprognozy=2032 i lp=660</v>
      </c>
      <c r="Y76" s="37" t="str">
        <f t="shared" si="16"/>
        <v>rokprognozy=2033 i lp=660</v>
      </c>
      <c r="Z76" s="37" t="str">
        <f t="shared" si="16"/>
        <v>rokprognozy=2034 i lp=660</v>
      </c>
      <c r="AA76" s="37" t="str">
        <f t="shared" si="16"/>
        <v>rokprognozy=2035 i lp=660</v>
      </c>
      <c r="AB76" s="37" t="str">
        <f t="shared" si="16"/>
        <v>rokprognozy=2036 i lp=660</v>
      </c>
      <c r="AC76" s="37" t="str">
        <f t="shared" si="16"/>
        <v>rokprognozy=2037 i lp=660</v>
      </c>
      <c r="AD76" s="37" t="str">
        <f aca="true" t="shared" si="18" ref="AD76:AH91">+"rokprognozy="&amp;AD$9&amp;" i lp="&amp;$A76</f>
        <v>rokprognozy=2038 i lp=660</v>
      </c>
      <c r="AE76" s="37" t="str">
        <f t="shared" si="18"/>
        <v>rokprognozy=2039 i lp=660</v>
      </c>
      <c r="AF76" s="37" t="str">
        <f t="shared" si="18"/>
        <v>rokprognozy=2040 i lp=660</v>
      </c>
      <c r="AG76" s="37" t="str">
        <f t="shared" si="18"/>
        <v>rokprognozy=2041 i lp=660</v>
      </c>
      <c r="AH76" s="37" t="str">
        <f t="shared" si="18"/>
        <v>rokprognozy=2042 i lp=660</v>
      </c>
    </row>
    <row r="77" spans="1:34" ht="11.25">
      <c r="A77" s="36">
        <v>670</v>
      </c>
      <c r="B77" s="36">
        <v>12.1</v>
      </c>
      <c r="C77" s="37" t="s">
        <v>125</v>
      </c>
      <c r="D77" s="37" t="str">
        <f t="shared" si="17"/>
        <v>rokprognozy=2013 i lp=670</v>
      </c>
      <c r="E77" s="37" t="str">
        <f t="shared" si="15"/>
        <v>rokprognozy=2013 i lp=670</v>
      </c>
      <c r="F77" s="37" t="str">
        <f t="shared" si="15"/>
        <v>rokprognozy=2014 i lp=670</v>
      </c>
      <c r="G77" s="37" t="str">
        <f t="shared" si="15"/>
        <v>rokprognozy=2015 i lp=670</v>
      </c>
      <c r="H77" s="37" t="str">
        <f t="shared" si="15"/>
        <v>rokprognozy=2016 i lp=670</v>
      </c>
      <c r="I77" s="37" t="str">
        <f t="shared" si="15"/>
        <v>rokprognozy=2017 i lp=670</v>
      </c>
      <c r="J77" s="37" t="str">
        <f t="shared" si="15"/>
        <v>rokprognozy=2018 i lp=670</v>
      </c>
      <c r="K77" s="37" t="str">
        <f t="shared" si="15"/>
        <v>rokprognozy=2019 i lp=670</v>
      </c>
      <c r="L77" s="37" t="str">
        <f t="shared" si="15"/>
        <v>rokprognozy=2020 i lp=670</v>
      </c>
      <c r="M77" s="37" t="str">
        <f t="shared" si="15"/>
        <v>rokprognozy=2021 i lp=670</v>
      </c>
      <c r="N77" s="37" t="str">
        <f t="shared" si="16"/>
        <v>rokprognozy=2022 i lp=670</v>
      </c>
      <c r="O77" s="37" t="str">
        <f t="shared" si="16"/>
        <v>rokprognozy=2023 i lp=670</v>
      </c>
      <c r="P77" s="37" t="str">
        <f t="shared" si="16"/>
        <v>rokprognozy=2024 i lp=670</v>
      </c>
      <c r="Q77" s="37" t="str">
        <f t="shared" si="16"/>
        <v>rokprognozy=2025 i lp=670</v>
      </c>
      <c r="R77" s="37" t="str">
        <f t="shared" si="16"/>
        <v>rokprognozy=2026 i lp=670</v>
      </c>
      <c r="S77" s="37" t="str">
        <f t="shared" si="16"/>
        <v>rokprognozy=2027 i lp=670</v>
      </c>
      <c r="T77" s="37" t="str">
        <f t="shared" si="16"/>
        <v>rokprognozy=2028 i lp=670</v>
      </c>
      <c r="U77" s="37" t="str">
        <f t="shared" si="16"/>
        <v>rokprognozy=2029 i lp=670</v>
      </c>
      <c r="V77" s="37" t="str">
        <f t="shared" si="16"/>
        <v>rokprognozy=2030 i lp=670</v>
      </c>
      <c r="W77" s="37" t="str">
        <f t="shared" si="16"/>
        <v>rokprognozy=2031 i lp=670</v>
      </c>
      <c r="X77" s="37" t="str">
        <f t="shared" si="16"/>
        <v>rokprognozy=2032 i lp=670</v>
      </c>
      <c r="Y77" s="37" t="str">
        <f t="shared" si="16"/>
        <v>rokprognozy=2033 i lp=670</v>
      </c>
      <c r="Z77" s="37" t="str">
        <f t="shared" si="16"/>
        <v>rokprognozy=2034 i lp=670</v>
      </c>
      <c r="AA77" s="37" t="str">
        <f t="shared" si="16"/>
        <v>rokprognozy=2035 i lp=670</v>
      </c>
      <c r="AB77" s="37" t="str">
        <f t="shared" si="16"/>
        <v>rokprognozy=2036 i lp=670</v>
      </c>
      <c r="AC77" s="37" t="str">
        <f t="shared" si="16"/>
        <v>rokprognozy=2037 i lp=670</v>
      </c>
      <c r="AD77" s="37" t="str">
        <f t="shared" si="18"/>
        <v>rokprognozy=2038 i lp=670</v>
      </c>
      <c r="AE77" s="37" t="str">
        <f t="shared" si="18"/>
        <v>rokprognozy=2039 i lp=670</v>
      </c>
      <c r="AF77" s="37" t="str">
        <f t="shared" si="18"/>
        <v>rokprognozy=2040 i lp=670</v>
      </c>
      <c r="AG77" s="37" t="str">
        <f t="shared" si="18"/>
        <v>rokprognozy=2041 i lp=670</v>
      </c>
      <c r="AH77" s="37" t="str">
        <f t="shared" si="18"/>
        <v>rokprognozy=2042 i lp=670</v>
      </c>
    </row>
    <row r="78" spans="1:34" ht="11.25">
      <c r="A78" s="36">
        <v>680</v>
      </c>
      <c r="B78" s="36" t="s">
        <v>126</v>
      </c>
      <c r="C78" s="37" t="s">
        <v>127</v>
      </c>
      <c r="D78" s="37" t="str">
        <f t="shared" si="17"/>
        <v>rokprognozy=2013 i lp=680</v>
      </c>
      <c r="E78" s="37" t="str">
        <f t="shared" si="15"/>
        <v>rokprognozy=2013 i lp=680</v>
      </c>
      <c r="F78" s="37" t="str">
        <f t="shared" si="15"/>
        <v>rokprognozy=2014 i lp=680</v>
      </c>
      <c r="G78" s="37" t="str">
        <f t="shared" si="15"/>
        <v>rokprognozy=2015 i lp=680</v>
      </c>
      <c r="H78" s="37" t="str">
        <f t="shared" si="15"/>
        <v>rokprognozy=2016 i lp=680</v>
      </c>
      <c r="I78" s="37" t="str">
        <f t="shared" si="15"/>
        <v>rokprognozy=2017 i lp=680</v>
      </c>
      <c r="J78" s="37" t="str">
        <f t="shared" si="15"/>
        <v>rokprognozy=2018 i lp=680</v>
      </c>
      <c r="K78" s="37" t="str">
        <f t="shared" si="15"/>
        <v>rokprognozy=2019 i lp=680</v>
      </c>
      <c r="L78" s="37" t="str">
        <f t="shared" si="15"/>
        <v>rokprognozy=2020 i lp=680</v>
      </c>
      <c r="M78" s="37" t="str">
        <f t="shared" si="15"/>
        <v>rokprognozy=2021 i lp=680</v>
      </c>
      <c r="N78" s="37" t="str">
        <f t="shared" si="16"/>
        <v>rokprognozy=2022 i lp=680</v>
      </c>
      <c r="O78" s="37" t="str">
        <f t="shared" si="16"/>
        <v>rokprognozy=2023 i lp=680</v>
      </c>
      <c r="P78" s="37" t="str">
        <f t="shared" si="16"/>
        <v>rokprognozy=2024 i lp=680</v>
      </c>
      <c r="Q78" s="37" t="str">
        <f t="shared" si="16"/>
        <v>rokprognozy=2025 i lp=680</v>
      </c>
      <c r="R78" s="37" t="str">
        <f t="shared" si="16"/>
        <v>rokprognozy=2026 i lp=680</v>
      </c>
      <c r="S78" s="37" t="str">
        <f t="shared" si="16"/>
        <v>rokprognozy=2027 i lp=680</v>
      </c>
      <c r="T78" s="37" t="str">
        <f t="shared" si="16"/>
        <v>rokprognozy=2028 i lp=680</v>
      </c>
      <c r="U78" s="37" t="str">
        <f t="shared" si="16"/>
        <v>rokprognozy=2029 i lp=680</v>
      </c>
      <c r="V78" s="37" t="str">
        <f t="shared" si="16"/>
        <v>rokprognozy=2030 i lp=680</v>
      </c>
      <c r="W78" s="37" t="str">
        <f t="shared" si="16"/>
        <v>rokprognozy=2031 i lp=680</v>
      </c>
      <c r="X78" s="37" t="str">
        <f t="shared" si="16"/>
        <v>rokprognozy=2032 i lp=680</v>
      </c>
      <c r="Y78" s="37" t="str">
        <f t="shared" si="16"/>
        <v>rokprognozy=2033 i lp=680</v>
      </c>
      <c r="Z78" s="37" t="str">
        <f t="shared" si="16"/>
        <v>rokprognozy=2034 i lp=680</v>
      </c>
      <c r="AA78" s="37" t="str">
        <f t="shared" si="16"/>
        <v>rokprognozy=2035 i lp=680</v>
      </c>
      <c r="AB78" s="37" t="str">
        <f t="shared" si="16"/>
        <v>rokprognozy=2036 i lp=680</v>
      </c>
      <c r="AC78" s="37" t="str">
        <f t="shared" si="16"/>
        <v>rokprognozy=2037 i lp=680</v>
      </c>
      <c r="AD78" s="37" t="str">
        <f t="shared" si="18"/>
        <v>rokprognozy=2038 i lp=680</v>
      </c>
      <c r="AE78" s="37" t="str">
        <f t="shared" si="18"/>
        <v>rokprognozy=2039 i lp=680</v>
      </c>
      <c r="AF78" s="37" t="str">
        <f t="shared" si="18"/>
        <v>rokprognozy=2040 i lp=680</v>
      </c>
      <c r="AG78" s="37" t="str">
        <f t="shared" si="18"/>
        <v>rokprognozy=2041 i lp=680</v>
      </c>
      <c r="AH78" s="37" t="str">
        <f t="shared" si="18"/>
        <v>rokprognozy=2042 i lp=680</v>
      </c>
    </row>
    <row r="79" spans="1:34" ht="11.25">
      <c r="A79" s="36">
        <v>690</v>
      </c>
      <c r="B79" s="36" t="s">
        <v>128</v>
      </c>
      <c r="C79" s="37" t="s">
        <v>129</v>
      </c>
      <c r="D79" s="37" t="str">
        <f t="shared" si="17"/>
        <v>rokprognozy=2013 i lp=690</v>
      </c>
      <c r="E79" s="37" t="str">
        <f t="shared" si="15"/>
        <v>rokprognozy=2013 i lp=690</v>
      </c>
      <c r="F79" s="37" t="str">
        <f t="shared" si="15"/>
        <v>rokprognozy=2014 i lp=690</v>
      </c>
      <c r="G79" s="37" t="str">
        <f t="shared" si="15"/>
        <v>rokprognozy=2015 i lp=690</v>
      </c>
      <c r="H79" s="37" t="str">
        <f t="shared" si="15"/>
        <v>rokprognozy=2016 i lp=690</v>
      </c>
      <c r="I79" s="37" t="str">
        <f t="shared" si="15"/>
        <v>rokprognozy=2017 i lp=690</v>
      </c>
      <c r="J79" s="37" t="str">
        <f t="shared" si="15"/>
        <v>rokprognozy=2018 i lp=690</v>
      </c>
      <c r="K79" s="37" t="str">
        <f t="shared" si="15"/>
        <v>rokprognozy=2019 i lp=690</v>
      </c>
      <c r="L79" s="37" t="str">
        <f t="shared" si="15"/>
        <v>rokprognozy=2020 i lp=690</v>
      </c>
      <c r="M79" s="37" t="str">
        <f t="shared" si="15"/>
        <v>rokprognozy=2021 i lp=690</v>
      </c>
      <c r="N79" s="37" t="str">
        <f t="shared" si="16"/>
        <v>rokprognozy=2022 i lp=690</v>
      </c>
      <c r="O79" s="37" t="str">
        <f t="shared" si="16"/>
        <v>rokprognozy=2023 i lp=690</v>
      </c>
      <c r="P79" s="37" t="str">
        <f t="shared" si="16"/>
        <v>rokprognozy=2024 i lp=690</v>
      </c>
      <c r="Q79" s="37" t="str">
        <f t="shared" si="16"/>
        <v>rokprognozy=2025 i lp=690</v>
      </c>
      <c r="R79" s="37" t="str">
        <f t="shared" si="16"/>
        <v>rokprognozy=2026 i lp=690</v>
      </c>
      <c r="S79" s="37" t="str">
        <f t="shared" si="16"/>
        <v>rokprognozy=2027 i lp=690</v>
      </c>
      <c r="T79" s="37" t="str">
        <f t="shared" si="16"/>
        <v>rokprognozy=2028 i lp=690</v>
      </c>
      <c r="U79" s="37" t="str">
        <f t="shared" si="16"/>
        <v>rokprognozy=2029 i lp=690</v>
      </c>
      <c r="V79" s="37" t="str">
        <f t="shared" si="16"/>
        <v>rokprognozy=2030 i lp=690</v>
      </c>
      <c r="W79" s="37" t="str">
        <f t="shared" si="16"/>
        <v>rokprognozy=2031 i lp=690</v>
      </c>
      <c r="X79" s="37" t="str">
        <f t="shared" si="16"/>
        <v>rokprognozy=2032 i lp=690</v>
      </c>
      <c r="Y79" s="37" t="str">
        <f t="shared" si="16"/>
        <v>rokprognozy=2033 i lp=690</v>
      </c>
      <c r="Z79" s="37" t="str">
        <f t="shared" si="16"/>
        <v>rokprognozy=2034 i lp=690</v>
      </c>
      <c r="AA79" s="37" t="str">
        <f t="shared" si="16"/>
        <v>rokprognozy=2035 i lp=690</v>
      </c>
      <c r="AB79" s="37" t="str">
        <f t="shared" si="16"/>
        <v>rokprognozy=2036 i lp=690</v>
      </c>
      <c r="AC79" s="37" t="str">
        <f t="shared" si="16"/>
        <v>rokprognozy=2037 i lp=690</v>
      </c>
      <c r="AD79" s="37" t="str">
        <f t="shared" si="18"/>
        <v>rokprognozy=2038 i lp=690</v>
      </c>
      <c r="AE79" s="37" t="str">
        <f t="shared" si="18"/>
        <v>rokprognozy=2039 i lp=690</v>
      </c>
      <c r="AF79" s="37" t="str">
        <f t="shared" si="18"/>
        <v>rokprognozy=2040 i lp=690</v>
      </c>
      <c r="AG79" s="37" t="str">
        <f t="shared" si="18"/>
        <v>rokprognozy=2041 i lp=690</v>
      </c>
      <c r="AH79" s="37" t="str">
        <f t="shared" si="18"/>
        <v>rokprognozy=2042 i lp=690</v>
      </c>
    </row>
    <row r="80" spans="1:34" ht="11.25">
      <c r="A80" s="36">
        <v>700</v>
      </c>
      <c r="B80" s="36">
        <v>12.2</v>
      </c>
      <c r="C80" s="37" t="s">
        <v>130</v>
      </c>
      <c r="D80" s="37" t="str">
        <f t="shared" si="17"/>
        <v>rokprognozy=2013 i lp=700</v>
      </c>
      <c r="E80" s="37" t="str">
        <f t="shared" si="15"/>
        <v>rokprognozy=2013 i lp=700</v>
      </c>
      <c r="F80" s="37" t="str">
        <f t="shared" si="15"/>
        <v>rokprognozy=2014 i lp=700</v>
      </c>
      <c r="G80" s="37" t="str">
        <f t="shared" si="15"/>
        <v>rokprognozy=2015 i lp=700</v>
      </c>
      <c r="H80" s="37" t="str">
        <f t="shared" si="15"/>
        <v>rokprognozy=2016 i lp=700</v>
      </c>
      <c r="I80" s="37" t="str">
        <f t="shared" si="15"/>
        <v>rokprognozy=2017 i lp=700</v>
      </c>
      <c r="J80" s="37" t="str">
        <f t="shared" si="15"/>
        <v>rokprognozy=2018 i lp=700</v>
      </c>
      <c r="K80" s="37" t="str">
        <f t="shared" si="15"/>
        <v>rokprognozy=2019 i lp=700</v>
      </c>
      <c r="L80" s="37" t="str">
        <f t="shared" si="15"/>
        <v>rokprognozy=2020 i lp=700</v>
      </c>
      <c r="M80" s="37" t="str">
        <f t="shared" si="15"/>
        <v>rokprognozy=2021 i lp=700</v>
      </c>
      <c r="N80" s="37" t="str">
        <f t="shared" si="16"/>
        <v>rokprognozy=2022 i lp=700</v>
      </c>
      <c r="O80" s="37" t="str">
        <f t="shared" si="16"/>
        <v>rokprognozy=2023 i lp=700</v>
      </c>
      <c r="P80" s="37" t="str">
        <f t="shared" si="16"/>
        <v>rokprognozy=2024 i lp=700</v>
      </c>
      <c r="Q80" s="37" t="str">
        <f t="shared" si="16"/>
        <v>rokprognozy=2025 i lp=700</v>
      </c>
      <c r="R80" s="37" t="str">
        <f t="shared" si="16"/>
        <v>rokprognozy=2026 i lp=700</v>
      </c>
      <c r="S80" s="37" t="str">
        <f t="shared" si="16"/>
        <v>rokprognozy=2027 i lp=700</v>
      </c>
      <c r="T80" s="37" t="str">
        <f t="shared" si="16"/>
        <v>rokprognozy=2028 i lp=700</v>
      </c>
      <c r="U80" s="37" t="str">
        <f t="shared" si="16"/>
        <v>rokprognozy=2029 i lp=700</v>
      </c>
      <c r="V80" s="37" t="str">
        <f t="shared" si="16"/>
        <v>rokprognozy=2030 i lp=700</v>
      </c>
      <c r="W80" s="37" t="str">
        <f t="shared" si="16"/>
        <v>rokprognozy=2031 i lp=700</v>
      </c>
      <c r="X80" s="37" t="str">
        <f t="shared" si="16"/>
        <v>rokprognozy=2032 i lp=700</v>
      </c>
      <c r="Y80" s="37" t="str">
        <f t="shared" si="16"/>
        <v>rokprognozy=2033 i lp=700</v>
      </c>
      <c r="Z80" s="37" t="str">
        <f t="shared" si="16"/>
        <v>rokprognozy=2034 i lp=700</v>
      </c>
      <c r="AA80" s="37" t="str">
        <f t="shared" si="16"/>
        <v>rokprognozy=2035 i lp=700</v>
      </c>
      <c r="AB80" s="37" t="str">
        <f t="shared" si="16"/>
        <v>rokprognozy=2036 i lp=700</v>
      </c>
      <c r="AC80" s="37" t="str">
        <f t="shared" si="16"/>
        <v>rokprognozy=2037 i lp=700</v>
      </c>
      <c r="AD80" s="37" t="str">
        <f t="shared" si="18"/>
        <v>rokprognozy=2038 i lp=700</v>
      </c>
      <c r="AE80" s="37" t="str">
        <f t="shared" si="18"/>
        <v>rokprognozy=2039 i lp=700</v>
      </c>
      <c r="AF80" s="37" t="str">
        <f t="shared" si="18"/>
        <v>rokprognozy=2040 i lp=700</v>
      </c>
      <c r="AG80" s="37" t="str">
        <f t="shared" si="18"/>
        <v>rokprognozy=2041 i lp=700</v>
      </c>
      <c r="AH80" s="37" t="str">
        <f t="shared" si="18"/>
        <v>rokprognozy=2042 i lp=700</v>
      </c>
    </row>
    <row r="81" spans="1:34" ht="11.25">
      <c r="A81" s="36">
        <v>710</v>
      </c>
      <c r="B81" s="36" t="s">
        <v>131</v>
      </c>
      <c r="C81" s="37" t="s">
        <v>132</v>
      </c>
      <c r="D81" s="37" t="str">
        <f t="shared" si="17"/>
        <v>rokprognozy=2013 i lp=710</v>
      </c>
      <c r="E81" s="37" t="str">
        <f t="shared" si="15"/>
        <v>rokprognozy=2013 i lp=710</v>
      </c>
      <c r="F81" s="37" t="str">
        <f t="shared" si="15"/>
        <v>rokprognozy=2014 i lp=710</v>
      </c>
      <c r="G81" s="37" t="str">
        <f t="shared" si="15"/>
        <v>rokprognozy=2015 i lp=710</v>
      </c>
      <c r="H81" s="37" t="str">
        <f t="shared" si="15"/>
        <v>rokprognozy=2016 i lp=710</v>
      </c>
      <c r="I81" s="37" t="str">
        <f t="shared" si="15"/>
        <v>rokprognozy=2017 i lp=710</v>
      </c>
      <c r="J81" s="37" t="str">
        <f t="shared" si="15"/>
        <v>rokprognozy=2018 i lp=710</v>
      </c>
      <c r="K81" s="37" t="str">
        <f t="shared" si="15"/>
        <v>rokprognozy=2019 i lp=710</v>
      </c>
      <c r="L81" s="37" t="str">
        <f t="shared" si="15"/>
        <v>rokprognozy=2020 i lp=710</v>
      </c>
      <c r="M81" s="37" t="str">
        <f t="shared" si="15"/>
        <v>rokprognozy=2021 i lp=710</v>
      </c>
      <c r="N81" s="37" t="str">
        <f t="shared" si="16"/>
        <v>rokprognozy=2022 i lp=710</v>
      </c>
      <c r="O81" s="37" t="str">
        <f t="shared" si="16"/>
        <v>rokprognozy=2023 i lp=710</v>
      </c>
      <c r="P81" s="37" t="str">
        <f t="shared" si="16"/>
        <v>rokprognozy=2024 i lp=710</v>
      </c>
      <c r="Q81" s="37" t="str">
        <f t="shared" si="16"/>
        <v>rokprognozy=2025 i lp=710</v>
      </c>
      <c r="R81" s="37" t="str">
        <f t="shared" si="16"/>
        <v>rokprognozy=2026 i lp=710</v>
      </c>
      <c r="S81" s="37" t="str">
        <f t="shared" si="16"/>
        <v>rokprognozy=2027 i lp=710</v>
      </c>
      <c r="T81" s="37" t="str">
        <f t="shared" si="16"/>
        <v>rokprognozy=2028 i lp=710</v>
      </c>
      <c r="U81" s="37" t="str">
        <f t="shared" si="16"/>
        <v>rokprognozy=2029 i lp=710</v>
      </c>
      <c r="V81" s="37" t="str">
        <f t="shared" si="16"/>
        <v>rokprognozy=2030 i lp=710</v>
      </c>
      <c r="W81" s="37" t="str">
        <f t="shared" si="16"/>
        <v>rokprognozy=2031 i lp=710</v>
      </c>
      <c r="X81" s="37" t="str">
        <f t="shared" si="16"/>
        <v>rokprognozy=2032 i lp=710</v>
      </c>
      <c r="Y81" s="37" t="str">
        <f t="shared" si="16"/>
        <v>rokprognozy=2033 i lp=710</v>
      </c>
      <c r="Z81" s="37" t="str">
        <f t="shared" si="16"/>
        <v>rokprognozy=2034 i lp=710</v>
      </c>
      <c r="AA81" s="37" t="str">
        <f t="shared" si="16"/>
        <v>rokprognozy=2035 i lp=710</v>
      </c>
      <c r="AB81" s="37" t="str">
        <f t="shared" si="16"/>
        <v>rokprognozy=2036 i lp=710</v>
      </c>
      <c r="AC81" s="37" t="str">
        <f t="shared" si="16"/>
        <v>rokprognozy=2037 i lp=710</v>
      </c>
      <c r="AD81" s="37" t="str">
        <f t="shared" si="18"/>
        <v>rokprognozy=2038 i lp=710</v>
      </c>
      <c r="AE81" s="37" t="str">
        <f t="shared" si="18"/>
        <v>rokprognozy=2039 i lp=710</v>
      </c>
      <c r="AF81" s="37" t="str">
        <f t="shared" si="18"/>
        <v>rokprognozy=2040 i lp=710</v>
      </c>
      <c r="AG81" s="37" t="str">
        <f t="shared" si="18"/>
        <v>rokprognozy=2041 i lp=710</v>
      </c>
      <c r="AH81" s="37" t="str">
        <f t="shared" si="18"/>
        <v>rokprognozy=2042 i lp=710</v>
      </c>
    </row>
    <row r="82" spans="1:34" ht="11.25">
      <c r="A82" s="36">
        <v>720</v>
      </c>
      <c r="B82" s="36" t="s">
        <v>133</v>
      </c>
      <c r="C82" s="37" t="s">
        <v>134</v>
      </c>
      <c r="D82" s="37" t="str">
        <f t="shared" si="17"/>
        <v>rokprognozy=2013 i lp=720</v>
      </c>
      <c r="E82" s="37" t="str">
        <f t="shared" si="15"/>
        <v>rokprognozy=2013 i lp=720</v>
      </c>
      <c r="F82" s="37" t="str">
        <f t="shared" si="15"/>
        <v>rokprognozy=2014 i lp=720</v>
      </c>
      <c r="G82" s="37" t="str">
        <f t="shared" si="15"/>
        <v>rokprognozy=2015 i lp=720</v>
      </c>
      <c r="H82" s="37" t="str">
        <f t="shared" si="15"/>
        <v>rokprognozy=2016 i lp=720</v>
      </c>
      <c r="I82" s="37" t="str">
        <f t="shared" si="15"/>
        <v>rokprognozy=2017 i lp=720</v>
      </c>
      <c r="J82" s="37" t="str">
        <f t="shared" si="15"/>
        <v>rokprognozy=2018 i lp=720</v>
      </c>
      <c r="K82" s="37" t="str">
        <f t="shared" si="15"/>
        <v>rokprognozy=2019 i lp=720</v>
      </c>
      <c r="L82" s="37" t="str">
        <f t="shared" si="15"/>
        <v>rokprognozy=2020 i lp=720</v>
      </c>
      <c r="M82" s="37" t="str">
        <f t="shared" si="15"/>
        <v>rokprognozy=2021 i lp=720</v>
      </c>
      <c r="N82" s="37" t="str">
        <f t="shared" si="16"/>
        <v>rokprognozy=2022 i lp=720</v>
      </c>
      <c r="O82" s="37" t="str">
        <f t="shared" si="16"/>
        <v>rokprognozy=2023 i lp=720</v>
      </c>
      <c r="P82" s="37" t="str">
        <f t="shared" si="16"/>
        <v>rokprognozy=2024 i lp=720</v>
      </c>
      <c r="Q82" s="37" t="str">
        <f t="shared" si="16"/>
        <v>rokprognozy=2025 i lp=720</v>
      </c>
      <c r="R82" s="37" t="str">
        <f t="shared" si="16"/>
        <v>rokprognozy=2026 i lp=720</v>
      </c>
      <c r="S82" s="37" t="str">
        <f t="shared" si="16"/>
        <v>rokprognozy=2027 i lp=720</v>
      </c>
      <c r="T82" s="37" t="str">
        <f t="shared" si="16"/>
        <v>rokprognozy=2028 i lp=720</v>
      </c>
      <c r="U82" s="37" t="str">
        <f t="shared" si="16"/>
        <v>rokprognozy=2029 i lp=720</v>
      </c>
      <c r="V82" s="37" t="str">
        <f t="shared" si="16"/>
        <v>rokprognozy=2030 i lp=720</v>
      </c>
      <c r="W82" s="37" t="str">
        <f t="shared" si="16"/>
        <v>rokprognozy=2031 i lp=720</v>
      </c>
      <c r="X82" s="37" t="str">
        <f t="shared" si="16"/>
        <v>rokprognozy=2032 i lp=720</v>
      </c>
      <c r="Y82" s="37" t="str">
        <f t="shared" si="16"/>
        <v>rokprognozy=2033 i lp=720</v>
      </c>
      <c r="Z82" s="37" t="str">
        <f t="shared" si="16"/>
        <v>rokprognozy=2034 i lp=720</v>
      </c>
      <c r="AA82" s="37" t="str">
        <f t="shared" si="16"/>
        <v>rokprognozy=2035 i lp=720</v>
      </c>
      <c r="AB82" s="37" t="str">
        <f t="shared" si="16"/>
        <v>rokprognozy=2036 i lp=720</v>
      </c>
      <c r="AC82" s="37" t="str">
        <f t="shared" si="16"/>
        <v>rokprognozy=2037 i lp=720</v>
      </c>
      <c r="AD82" s="37" t="str">
        <f t="shared" si="18"/>
        <v>rokprognozy=2038 i lp=720</v>
      </c>
      <c r="AE82" s="37" t="str">
        <f t="shared" si="18"/>
        <v>rokprognozy=2039 i lp=720</v>
      </c>
      <c r="AF82" s="37" t="str">
        <f t="shared" si="18"/>
        <v>rokprognozy=2040 i lp=720</v>
      </c>
      <c r="AG82" s="37" t="str">
        <f t="shared" si="18"/>
        <v>rokprognozy=2041 i lp=720</v>
      </c>
      <c r="AH82" s="37" t="str">
        <f t="shared" si="18"/>
        <v>rokprognozy=2042 i lp=720</v>
      </c>
    </row>
    <row r="83" spans="1:34" ht="11.25">
      <c r="A83" s="36">
        <v>730</v>
      </c>
      <c r="B83" s="36">
        <v>12.3</v>
      </c>
      <c r="C83" s="37" t="s">
        <v>135</v>
      </c>
      <c r="D83" s="37" t="str">
        <f t="shared" si="17"/>
        <v>rokprognozy=2013 i lp=730</v>
      </c>
      <c r="E83" s="37" t="str">
        <f t="shared" si="15"/>
        <v>rokprognozy=2013 i lp=730</v>
      </c>
      <c r="F83" s="37" t="str">
        <f t="shared" si="15"/>
        <v>rokprognozy=2014 i lp=730</v>
      </c>
      <c r="G83" s="37" t="str">
        <f t="shared" si="15"/>
        <v>rokprognozy=2015 i lp=730</v>
      </c>
      <c r="H83" s="37" t="str">
        <f t="shared" si="15"/>
        <v>rokprognozy=2016 i lp=730</v>
      </c>
      <c r="I83" s="37" t="str">
        <f t="shared" si="15"/>
        <v>rokprognozy=2017 i lp=730</v>
      </c>
      <c r="J83" s="37" t="str">
        <f t="shared" si="15"/>
        <v>rokprognozy=2018 i lp=730</v>
      </c>
      <c r="K83" s="37" t="str">
        <f t="shared" si="15"/>
        <v>rokprognozy=2019 i lp=730</v>
      </c>
      <c r="L83" s="37" t="str">
        <f t="shared" si="15"/>
        <v>rokprognozy=2020 i lp=730</v>
      </c>
      <c r="M83" s="37" t="str">
        <f t="shared" si="15"/>
        <v>rokprognozy=2021 i lp=730</v>
      </c>
      <c r="N83" s="37" t="str">
        <f t="shared" si="16"/>
        <v>rokprognozy=2022 i lp=730</v>
      </c>
      <c r="O83" s="37" t="str">
        <f t="shared" si="16"/>
        <v>rokprognozy=2023 i lp=730</v>
      </c>
      <c r="P83" s="37" t="str">
        <f t="shared" si="16"/>
        <v>rokprognozy=2024 i lp=730</v>
      </c>
      <c r="Q83" s="37" t="str">
        <f t="shared" si="16"/>
        <v>rokprognozy=2025 i lp=730</v>
      </c>
      <c r="R83" s="37" t="str">
        <f t="shared" si="16"/>
        <v>rokprognozy=2026 i lp=730</v>
      </c>
      <c r="S83" s="37" t="str">
        <f t="shared" si="16"/>
        <v>rokprognozy=2027 i lp=730</v>
      </c>
      <c r="T83" s="37" t="str">
        <f t="shared" si="16"/>
        <v>rokprognozy=2028 i lp=730</v>
      </c>
      <c r="U83" s="37" t="str">
        <f t="shared" si="16"/>
        <v>rokprognozy=2029 i lp=730</v>
      </c>
      <c r="V83" s="37" t="str">
        <f t="shared" si="16"/>
        <v>rokprognozy=2030 i lp=730</v>
      </c>
      <c r="W83" s="37" t="str">
        <f t="shared" si="16"/>
        <v>rokprognozy=2031 i lp=730</v>
      </c>
      <c r="X83" s="37" t="str">
        <f t="shared" si="16"/>
        <v>rokprognozy=2032 i lp=730</v>
      </c>
      <c r="Y83" s="37" t="str">
        <f t="shared" si="16"/>
        <v>rokprognozy=2033 i lp=730</v>
      </c>
      <c r="Z83" s="37" t="str">
        <f t="shared" si="16"/>
        <v>rokprognozy=2034 i lp=730</v>
      </c>
      <c r="AA83" s="37" t="str">
        <f t="shared" si="16"/>
        <v>rokprognozy=2035 i lp=730</v>
      </c>
      <c r="AB83" s="37" t="str">
        <f t="shared" si="16"/>
        <v>rokprognozy=2036 i lp=730</v>
      </c>
      <c r="AC83" s="37" t="str">
        <f t="shared" si="16"/>
        <v>rokprognozy=2037 i lp=730</v>
      </c>
      <c r="AD83" s="37" t="str">
        <f t="shared" si="18"/>
        <v>rokprognozy=2038 i lp=730</v>
      </c>
      <c r="AE83" s="37" t="str">
        <f t="shared" si="18"/>
        <v>rokprognozy=2039 i lp=730</v>
      </c>
      <c r="AF83" s="37" t="str">
        <f t="shared" si="18"/>
        <v>rokprognozy=2040 i lp=730</v>
      </c>
      <c r="AG83" s="37" t="str">
        <f t="shared" si="18"/>
        <v>rokprognozy=2041 i lp=730</v>
      </c>
      <c r="AH83" s="37" t="str">
        <f t="shared" si="18"/>
        <v>rokprognozy=2042 i lp=730</v>
      </c>
    </row>
    <row r="84" spans="1:34" ht="11.25">
      <c r="A84" s="36">
        <v>740</v>
      </c>
      <c r="B84" s="36" t="s">
        <v>136</v>
      </c>
      <c r="C84" s="37" t="s">
        <v>137</v>
      </c>
      <c r="D84" s="37" t="str">
        <f t="shared" si="17"/>
        <v>rokprognozy=2013 i lp=740</v>
      </c>
      <c r="E84" s="37" t="str">
        <f t="shared" si="15"/>
        <v>rokprognozy=2013 i lp=740</v>
      </c>
      <c r="F84" s="37" t="str">
        <f t="shared" si="15"/>
        <v>rokprognozy=2014 i lp=740</v>
      </c>
      <c r="G84" s="37" t="str">
        <f t="shared" si="15"/>
        <v>rokprognozy=2015 i lp=740</v>
      </c>
      <c r="H84" s="37" t="str">
        <f t="shared" si="15"/>
        <v>rokprognozy=2016 i lp=740</v>
      </c>
      <c r="I84" s="37" t="str">
        <f t="shared" si="15"/>
        <v>rokprognozy=2017 i lp=740</v>
      </c>
      <c r="J84" s="37" t="str">
        <f t="shared" si="15"/>
        <v>rokprognozy=2018 i lp=740</v>
      </c>
      <c r="K84" s="37" t="str">
        <f t="shared" si="15"/>
        <v>rokprognozy=2019 i lp=740</v>
      </c>
      <c r="L84" s="37" t="str">
        <f t="shared" si="15"/>
        <v>rokprognozy=2020 i lp=740</v>
      </c>
      <c r="M84" s="37" t="str">
        <f t="shared" si="15"/>
        <v>rokprognozy=2021 i lp=740</v>
      </c>
      <c r="N84" s="37" t="str">
        <f t="shared" si="16"/>
        <v>rokprognozy=2022 i lp=740</v>
      </c>
      <c r="O84" s="37" t="str">
        <f t="shared" si="16"/>
        <v>rokprognozy=2023 i lp=740</v>
      </c>
      <c r="P84" s="37" t="str">
        <f t="shared" si="16"/>
        <v>rokprognozy=2024 i lp=740</v>
      </c>
      <c r="Q84" s="37" t="str">
        <f t="shared" si="16"/>
        <v>rokprognozy=2025 i lp=740</v>
      </c>
      <c r="R84" s="37" t="str">
        <f t="shared" si="16"/>
        <v>rokprognozy=2026 i lp=740</v>
      </c>
      <c r="S84" s="37" t="str">
        <f t="shared" si="16"/>
        <v>rokprognozy=2027 i lp=740</v>
      </c>
      <c r="T84" s="37" t="str">
        <f t="shared" si="16"/>
        <v>rokprognozy=2028 i lp=740</v>
      </c>
      <c r="U84" s="37" t="str">
        <f t="shared" si="16"/>
        <v>rokprognozy=2029 i lp=740</v>
      </c>
      <c r="V84" s="37" t="str">
        <f t="shared" si="16"/>
        <v>rokprognozy=2030 i lp=740</v>
      </c>
      <c r="W84" s="37" t="str">
        <f t="shared" si="16"/>
        <v>rokprognozy=2031 i lp=740</v>
      </c>
      <c r="X84" s="37" t="str">
        <f t="shared" si="16"/>
        <v>rokprognozy=2032 i lp=740</v>
      </c>
      <c r="Y84" s="37" t="str">
        <f t="shared" si="16"/>
        <v>rokprognozy=2033 i lp=740</v>
      </c>
      <c r="Z84" s="37" t="str">
        <f t="shared" si="16"/>
        <v>rokprognozy=2034 i lp=740</v>
      </c>
      <c r="AA84" s="37" t="str">
        <f t="shared" si="16"/>
        <v>rokprognozy=2035 i lp=740</v>
      </c>
      <c r="AB84" s="37" t="str">
        <f t="shared" si="16"/>
        <v>rokprognozy=2036 i lp=740</v>
      </c>
      <c r="AC84" s="37" t="str">
        <f t="shared" si="16"/>
        <v>rokprognozy=2037 i lp=740</v>
      </c>
      <c r="AD84" s="37" t="str">
        <f t="shared" si="18"/>
        <v>rokprognozy=2038 i lp=740</v>
      </c>
      <c r="AE84" s="37" t="str">
        <f t="shared" si="18"/>
        <v>rokprognozy=2039 i lp=740</v>
      </c>
      <c r="AF84" s="37" t="str">
        <f t="shared" si="18"/>
        <v>rokprognozy=2040 i lp=740</v>
      </c>
      <c r="AG84" s="37" t="str">
        <f t="shared" si="18"/>
        <v>rokprognozy=2041 i lp=740</v>
      </c>
      <c r="AH84" s="37" t="str">
        <f t="shared" si="18"/>
        <v>rokprognozy=2042 i lp=740</v>
      </c>
    </row>
    <row r="85" spans="1:34" ht="11.25">
      <c r="A85" s="36">
        <v>750</v>
      </c>
      <c r="B85" s="36" t="s">
        <v>138</v>
      </c>
      <c r="C85" s="37" t="s">
        <v>139</v>
      </c>
      <c r="D85" s="37" t="str">
        <f t="shared" si="17"/>
        <v>rokprognozy=2013 i lp=750</v>
      </c>
      <c r="E85" s="37" t="str">
        <f aca="true" t="shared" si="19" ref="E85:T104">+"rokprognozy="&amp;E$9&amp;" i lp="&amp;$A85</f>
        <v>rokprognozy=2013 i lp=750</v>
      </c>
      <c r="F85" s="37" t="str">
        <f t="shared" si="19"/>
        <v>rokprognozy=2014 i lp=750</v>
      </c>
      <c r="G85" s="37" t="str">
        <f t="shared" si="19"/>
        <v>rokprognozy=2015 i lp=750</v>
      </c>
      <c r="H85" s="37" t="str">
        <f t="shared" si="19"/>
        <v>rokprognozy=2016 i lp=750</v>
      </c>
      <c r="I85" s="37" t="str">
        <f t="shared" si="19"/>
        <v>rokprognozy=2017 i lp=750</v>
      </c>
      <c r="J85" s="37" t="str">
        <f t="shared" si="19"/>
        <v>rokprognozy=2018 i lp=750</v>
      </c>
      <c r="K85" s="37" t="str">
        <f t="shared" si="19"/>
        <v>rokprognozy=2019 i lp=750</v>
      </c>
      <c r="L85" s="37" t="str">
        <f t="shared" si="19"/>
        <v>rokprognozy=2020 i lp=750</v>
      </c>
      <c r="M85" s="37" t="str">
        <f t="shared" si="19"/>
        <v>rokprognozy=2021 i lp=750</v>
      </c>
      <c r="N85" s="37" t="str">
        <f t="shared" si="16"/>
        <v>rokprognozy=2022 i lp=750</v>
      </c>
      <c r="O85" s="37" t="str">
        <f t="shared" si="16"/>
        <v>rokprognozy=2023 i lp=750</v>
      </c>
      <c r="P85" s="37" t="str">
        <f t="shared" si="16"/>
        <v>rokprognozy=2024 i lp=750</v>
      </c>
      <c r="Q85" s="37" t="str">
        <f t="shared" si="16"/>
        <v>rokprognozy=2025 i lp=750</v>
      </c>
      <c r="R85" s="37" t="str">
        <f t="shared" si="16"/>
        <v>rokprognozy=2026 i lp=750</v>
      </c>
      <c r="S85" s="37" t="str">
        <f t="shared" si="16"/>
        <v>rokprognozy=2027 i lp=750</v>
      </c>
      <c r="T85" s="37" t="str">
        <f t="shared" si="16"/>
        <v>rokprognozy=2028 i lp=750</v>
      </c>
      <c r="U85" s="37" t="str">
        <f t="shared" si="16"/>
        <v>rokprognozy=2029 i lp=750</v>
      </c>
      <c r="V85" s="37" t="str">
        <f t="shared" si="16"/>
        <v>rokprognozy=2030 i lp=750</v>
      </c>
      <c r="W85" s="37" t="str">
        <f t="shared" si="16"/>
        <v>rokprognozy=2031 i lp=750</v>
      </c>
      <c r="X85" s="37" t="str">
        <f t="shared" si="16"/>
        <v>rokprognozy=2032 i lp=750</v>
      </c>
      <c r="Y85" s="37" t="str">
        <f t="shared" si="16"/>
        <v>rokprognozy=2033 i lp=750</v>
      </c>
      <c r="Z85" s="37" t="str">
        <f t="shared" si="16"/>
        <v>rokprognozy=2034 i lp=750</v>
      </c>
      <c r="AA85" s="37" t="str">
        <f t="shared" si="16"/>
        <v>rokprognozy=2035 i lp=750</v>
      </c>
      <c r="AB85" s="37" t="str">
        <f t="shared" si="16"/>
        <v>rokprognozy=2036 i lp=750</v>
      </c>
      <c r="AC85" s="37" t="str">
        <f t="shared" si="16"/>
        <v>rokprognozy=2037 i lp=750</v>
      </c>
      <c r="AD85" s="37" t="str">
        <f t="shared" si="18"/>
        <v>rokprognozy=2038 i lp=750</v>
      </c>
      <c r="AE85" s="37" t="str">
        <f t="shared" si="18"/>
        <v>rokprognozy=2039 i lp=750</v>
      </c>
      <c r="AF85" s="37" t="str">
        <f t="shared" si="18"/>
        <v>rokprognozy=2040 i lp=750</v>
      </c>
      <c r="AG85" s="37" t="str">
        <f t="shared" si="18"/>
        <v>rokprognozy=2041 i lp=750</v>
      </c>
      <c r="AH85" s="37" t="str">
        <f t="shared" si="18"/>
        <v>rokprognozy=2042 i lp=750</v>
      </c>
    </row>
    <row r="86" spans="1:34" ht="11.25">
      <c r="A86" s="36">
        <v>760</v>
      </c>
      <c r="B86" s="36">
        <v>12.4</v>
      </c>
      <c r="C86" s="37" t="s">
        <v>140</v>
      </c>
      <c r="D86" s="37" t="str">
        <f t="shared" si="17"/>
        <v>rokprognozy=2013 i lp=760</v>
      </c>
      <c r="E86" s="37" t="str">
        <f t="shared" si="19"/>
        <v>rokprognozy=2013 i lp=760</v>
      </c>
      <c r="F86" s="37" t="str">
        <f t="shared" si="19"/>
        <v>rokprognozy=2014 i lp=760</v>
      </c>
      <c r="G86" s="37" t="str">
        <f t="shared" si="19"/>
        <v>rokprognozy=2015 i lp=760</v>
      </c>
      <c r="H86" s="37" t="str">
        <f t="shared" si="19"/>
        <v>rokprognozy=2016 i lp=760</v>
      </c>
      <c r="I86" s="37" t="str">
        <f t="shared" si="19"/>
        <v>rokprognozy=2017 i lp=760</v>
      </c>
      <c r="J86" s="37" t="str">
        <f t="shared" si="19"/>
        <v>rokprognozy=2018 i lp=760</v>
      </c>
      <c r="K86" s="37" t="str">
        <f t="shared" si="19"/>
        <v>rokprognozy=2019 i lp=760</v>
      </c>
      <c r="L86" s="37" t="str">
        <f t="shared" si="19"/>
        <v>rokprognozy=2020 i lp=760</v>
      </c>
      <c r="M86" s="37" t="str">
        <f t="shared" si="19"/>
        <v>rokprognozy=2021 i lp=760</v>
      </c>
      <c r="N86" s="37" t="str">
        <f t="shared" si="16"/>
        <v>rokprognozy=2022 i lp=760</v>
      </c>
      <c r="O86" s="37" t="str">
        <f t="shared" si="16"/>
        <v>rokprognozy=2023 i lp=760</v>
      </c>
      <c r="P86" s="37" t="str">
        <f t="shared" si="16"/>
        <v>rokprognozy=2024 i lp=760</v>
      </c>
      <c r="Q86" s="37" t="str">
        <f t="shared" si="16"/>
        <v>rokprognozy=2025 i lp=760</v>
      </c>
      <c r="R86" s="37" t="str">
        <f t="shared" si="16"/>
        <v>rokprognozy=2026 i lp=760</v>
      </c>
      <c r="S86" s="37" t="str">
        <f t="shared" si="16"/>
        <v>rokprognozy=2027 i lp=760</v>
      </c>
      <c r="T86" s="37" t="str">
        <f t="shared" si="16"/>
        <v>rokprognozy=2028 i lp=760</v>
      </c>
      <c r="U86" s="37" t="str">
        <f t="shared" si="16"/>
        <v>rokprognozy=2029 i lp=760</v>
      </c>
      <c r="V86" s="37" t="str">
        <f t="shared" si="16"/>
        <v>rokprognozy=2030 i lp=760</v>
      </c>
      <c r="W86" s="37" t="str">
        <f t="shared" si="16"/>
        <v>rokprognozy=2031 i lp=760</v>
      </c>
      <c r="X86" s="37" t="str">
        <f t="shared" si="16"/>
        <v>rokprognozy=2032 i lp=760</v>
      </c>
      <c r="Y86" s="37" t="str">
        <f t="shared" si="16"/>
        <v>rokprognozy=2033 i lp=760</v>
      </c>
      <c r="Z86" s="37" t="str">
        <f t="shared" si="16"/>
        <v>rokprognozy=2034 i lp=760</v>
      </c>
      <c r="AA86" s="37" t="str">
        <f t="shared" si="16"/>
        <v>rokprognozy=2035 i lp=760</v>
      </c>
      <c r="AB86" s="37" t="str">
        <f t="shared" si="16"/>
        <v>rokprognozy=2036 i lp=760</v>
      </c>
      <c r="AC86" s="37" t="str">
        <f t="shared" si="16"/>
        <v>rokprognozy=2037 i lp=760</v>
      </c>
      <c r="AD86" s="37" t="str">
        <f t="shared" si="18"/>
        <v>rokprognozy=2038 i lp=760</v>
      </c>
      <c r="AE86" s="37" t="str">
        <f t="shared" si="18"/>
        <v>rokprognozy=2039 i lp=760</v>
      </c>
      <c r="AF86" s="37" t="str">
        <f t="shared" si="18"/>
        <v>rokprognozy=2040 i lp=760</v>
      </c>
      <c r="AG86" s="37" t="str">
        <f t="shared" si="18"/>
        <v>rokprognozy=2041 i lp=760</v>
      </c>
      <c r="AH86" s="37" t="str">
        <f t="shared" si="18"/>
        <v>rokprognozy=2042 i lp=760</v>
      </c>
    </row>
    <row r="87" spans="1:34" ht="11.25">
      <c r="A87" s="36">
        <v>770</v>
      </c>
      <c r="B87" s="36" t="s">
        <v>141</v>
      </c>
      <c r="C87" s="37" t="s">
        <v>142</v>
      </c>
      <c r="D87" s="37" t="str">
        <f t="shared" si="17"/>
        <v>rokprognozy=2013 i lp=770</v>
      </c>
      <c r="E87" s="37" t="str">
        <f t="shared" si="19"/>
        <v>rokprognozy=2013 i lp=770</v>
      </c>
      <c r="F87" s="37" t="str">
        <f t="shared" si="19"/>
        <v>rokprognozy=2014 i lp=770</v>
      </c>
      <c r="G87" s="37" t="str">
        <f t="shared" si="19"/>
        <v>rokprognozy=2015 i lp=770</v>
      </c>
      <c r="H87" s="37" t="str">
        <f t="shared" si="19"/>
        <v>rokprognozy=2016 i lp=770</v>
      </c>
      <c r="I87" s="37" t="str">
        <f t="shared" si="19"/>
        <v>rokprognozy=2017 i lp=770</v>
      </c>
      <c r="J87" s="37" t="str">
        <f t="shared" si="19"/>
        <v>rokprognozy=2018 i lp=770</v>
      </c>
      <c r="K87" s="37" t="str">
        <f t="shared" si="19"/>
        <v>rokprognozy=2019 i lp=770</v>
      </c>
      <c r="L87" s="37" t="str">
        <f t="shared" si="19"/>
        <v>rokprognozy=2020 i lp=770</v>
      </c>
      <c r="M87" s="37" t="str">
        <f t="shared" si="19"/>
        <v>rokprognozy=2021 i lp=770</v>
      </c>
      <c r="N87" s="37" t="str">
        <f t="shared" si="16"/>
        <v>rokprognozy=2022 i lp=770</v>
      </c>
      <c r="O87" s="37" t="str">
        <f t="shared" si="16"/>
        <v>rokprognozy=2023 i lp=770</v>
      </c>
      <c r="P87" s="37" t="str">
        <f t="shared" si="16"/>
        <v>rokprognozy=2024 i lp=770</v>
      </c>
      <c r="Q87" s="37" t="str">
        <f t="shared" si="16"/>
        <v>rokprognozy=2025 i lp=770</v>
      </c>
      <c r="R87" s="37" t="str">
        <f t="shared" si="16"/>
        <v>rokprognozy=2026 i lp=770</v>
      </c>
      <c r="S87" s="37" t="str">
        <f t="shared" si="16"/>
        <v>rokprognozy=2027 i lp=770</v>
      </c>
      <c r="T87" s="37" t="str">
        <f t="shared" si="16"/>
        <v>rokprognozy=2028 i lp=770</v>
      </c>
      <c r="U87" s="37" t="str">
        <f t="shared" si="16"/>
        <v>rokprognozy=2029 i lp=770</v>
      </c>
      <c r="V87" s="37" t="str">
        <f t="shared" si="16"/>
        <v>rokprognozy=2030 i lp=770</v>
      </c>
      <c r="W87" s="37" t="str">
        <f t="shared" si="16"/>
        <v>rokprognozy=2031 i lp=770</v>
      </c>
      <c r="X87" s="37" t="str">
        <f t="shared" si="16"/>
        <v>rokprognozy=2032 i lp=770</v>
      </c>
      <c r="Y87" s="37" t="str">
        <f t="shared" si="16"/>
        <v>rokprognozy=2033 i lp=770</v>
      </c>
      <c r="Z87" s="37" t="str">
        <f t="shared" si="16"/>
        <v>rokprognozy=2034 i lp=770</v>
      </c>
      <c r="AA87" s="37" t="str">
        <f t="shared" si="16"/>
        <v>rokprognozy=2035 i lp=770</v>
      </c>
      <c r="AB87" s="37" t="str">
        <f t="shared" si="16"/>
        <v>rokprognozy=2036 i lp=770</v>
      </c>
      <c r="AC87" s="37" t="str">
        <f t="shared" si="16"/>
        <v>rokprognozy=2037 i lp=770</v>
      </c>
      <c r="AD87" s="37" t="str">
        <f t="shared" si="18"/>
        <v>rokprognozy=2038 i lp=770</v>
      </c>
      <c r="AE87" s="37" t="str">
        <f t="shared" si="18"/>
        <v>rokprognozy=2039 i lp=770</v>
      </c>
      <c r="AF87" s="37" t="str">
        <f t="shared" si="18"/>
        <v>rokprognozy=2040 i lp=770</v>
      </c>
      <c r="AG87" s="37" t="str">
        <f t="shared" si="18"/>
        <v>rokprognozy=2041 i lp=770</v>
      </c>
      <c r="AH87" s="37" t="str">
        <f t="shared" si="18"/>
        <v>rokprognozy=2042 i lp=770</v>
      </c>
    </row>
    <row r="88" spans="1:34" ht="11.25">
      <c r="A88" s="36">
        <v>780</v>
      </c>
      <c r="B88" s="36" t="s">
        <v>143</v>
      </c>
      <c r="C88" s="37" t="s">
        <v>144</v>
      </c>
      <c r="D88" s="37" t="str">
        <f t="shared" si="17"/>
        <v>rokprognozy=2013 i lp=780</v>
      </c>
      <c r="E88" s="37" t="str">
        <f t="shared" si="19"/>
        <v>rokprognozy=2013 i lp=780</v>
      </c>
      <c r="F88" s="37" t="str">
        <f t="shared" si="19"/>
        <v>rokprognozy=2014 i lp=780</v>
      </c>
      <c r="G88" s="37" t="str">
        <f t="shared" si="19"/>
        <v>rokprognozy=2015 i lp=780</v>
      </c>
      <c r="H88" s="37" t="str">
        <f t="shared" si="19"/>
        <v>rokprognozy=2016 i lp=780</v>
      </c>
      <c r="I88" s="37" t="str">
        <f t="shared" si="19"/>
        <v>rokprognozy=2017 i lp=780</v>
      </c>
      <c r="J88" s="37" t="str">
        <f t="shared" si="19"/>
        <v>rokprognozy=2018 i lp=780</v>
      </c>
      <c r="K88" s="37" t="str">
        <f t="shared" si="19"/>
        <v>rokprognozy=2019 i lp=780</v>
      </c>
      <c r="L88" s="37" t="str">
        <f t="shared" si="19"/>
        <v>rokprognozy=2020 i lp=780</v>
      </c>
      <c r="M88" s="37" t="str">
        <f t="shared" si="19"/>
        <v>rokprognozy=2021 i lp=780</v>
      </c>
      <c r="N88" s="37" t="str">
        <f t="shared" si="19"/>
        <v>rokprognozy=2022 i lp=780</v>
      </c>
      <c r="O88" s="37" t="str">
        <f t="shared" si="19"/>
        <v>rokprognozy=2023 i lp=780</v>
      </c>
      <c r="P88" s="37" t="str">
        <f t="shared" si="19"/>
        <v>rokprognozy=2024 i lp=780</v>
      </c>
      <c r="Q88" s="37" t="str">
        <f t="shared" si="19"/>
        <v>rokprognozy=2025 i lp=780</v>
      </c>
      <c r="R88" s="37" t="str">
        <f t="shared" si="19"/>
        <v>rokprognozy=2026 i lp=780</v>
      </c>
      <c r="S88" s="37" t="str">
        <f t="shared" si="19"/>
        <v>rokprognozy=2027 i lp=780</v>
      </c>
      <c r="T88" s="37" t="str">
        <f t="shared" si="19"/>
        <v>rokprognozy=2028 i lp=780</v>
      </c>
      <c r="U88" s="37" t="str">
        <f aca="true" t="shared" si="20" ref="N88:AC104">+"rokprognozy="&amp;U$9&amp;" i lp="&amp;$A88</f>
        <v>rokprognozy=2029 i lp=780</v>
      </c>
      <c r="V88" s="37" t="str">
        <f t="shared" si="20"/>
        <v>rokprognozy=2030 i lp=780</v>
      </c>
      <c r="W88" s="37" t="str">
        <f t="shared" si="20"/>
        <v>rokprognozy=2031 i lp=780</v>
      </c>
      <c r="X88" s="37" t="str">
        <f t="shared" si="20"/>
        <v>rokprognozy=2032 i lp=780</v>
      </c>
      <c r="Y88" s="37" t="str">
        <f t="shared" si="20"/>
        <v>rokprognozy=2033 i lp=780</v>
      </c>
      <c r="Z88" s="37" t="str">
        <f t="shared" si="20"/>
        <v>rokprognozy=2034 i lp=780</v>
      </c>
      <c r="AA88" s="37" t="str">
        <f t="shared" si="20"/>
        <v>rokprognozy=2035 i lp=780</v>
      </c>
      <c r="AB88" s="37" t="str">
        <f t="shared" si="20"/>
        <v>rokprognozy=2036 i lp=780</v>
      </c>
      <c r="AC88" s="37" t="str">
        <f t="shared" si="20"/>
        <v>rokprognozy=2037 i lp=780</v>
      </c>
      <c r="AD88" s="37" t="str">
        <f t="shared" si="18"/>
        <v>rokprognozy=2038 i lp=780</v>
      </c>
      <c r="AE88" s="37" t="str">
        <f t="shared" si="18"/>
        <v>rokprognozy=2039 i lp=780</v>
      </c>
      <c r="AF88" s="37" t="str">
        <f t="shared" si="18"/>
        <v>rokprognozy=2040 i lp=780</v>
      </c>
      <c r="AG88" s="37" t="str">
        <f t="shared" si="18"/>
        <v>rokprognozy=2041 i lp=780</v>
      </c>
      <c r="AH88" s="37" t="str">
        <f t="shared" si="18"/>
        <v>rokprognozy=2042 i lp=780</v>
      </c>
    </row>
    <row r="89" spans="1:34" ht="11.25">
      <c r="A89" s="36">
        <v>790</v>
      </c>
      <c r="B89" s="36">
        <v>13</v>
      </c>
      <c r="C89" s="37" t="s">
        <v>145</v>
      </c>
      <c r="D89" s="37" t="str">
        <f t="shared" si="17"/>
        <v>rokprognozy=2013 i lp=790</v>
      </c>
      <c r="E89" s="37" t="str">
        <f t="shared" si="19"/>
        <v>rokprognozy=2013 i lp=790</v>
      </c>
      <c r="F89" s="37" t="str">
        <f t="shared" si="19"/>
        <v>rokprognozy=2014 i lp=790</v>
      </c>
      <c r="G89" s="37" t="str">
        <f t="shared" si="19"/>
        <v>rokprognozy=2015 i lp=790</v>
      </c>
      <c r="H89" s="37" t="str">
        <f t="shared" si="19"/>
        <v>rokprognozy=2016 i lp=790</v>
      </c>
      <c r="I89" s="37" t="str">
        <f t="shared" si="19"/>
        <v>rokprognozy=2017 i lp=790</v>
      </c>
      <c r="J89" s="37" t="str">
        <f t="shared" si="19"/>
        <v>rokprognozy=2018 i lp=790</v>
      </c>
      <c r="K89" s="37" t="str">
        <f t="shared" si="19"/>
        <v>rokprognozy=2019 i lp=790</v>
      </c>
      <c r="L89" s="37" t="str">
        <f t="shared" si="19"/>
        <v>rokprognozy=2020 i lp=790</v>
      </c>
      <c r="M89" s="37" t="str">
        <f t="shared" si="19"/>
        <v>rokprognozy=2021 i lp=790</v>
      </c>
      <c r="N89" s="37" t="str">
        <f t="shared" si="20"/>
        <v>rokprognozy=2022 i lp=790</v>
      </c>
      <c r="O89" s="37" t="str">
        <f t="shared" si="20"/>
        <v>rokprognozy=2023 i lp=790</v>
      </c>
      <c r="P89" s="37" t="str">
        <f t="shared" si="20"/>
        <v>rokprognozy=2024 i lp=790</v>
      </c>
      <c r="Q89" s="37" t="str">
        <f t="shared" si="20"/>
        <v>rokprognozy=2025 i lp=790</v>
      </c>
      <c r="R89" s="37" t="str">
        <f t="shared" si="20"/>
        <v>rokprognozy=2026 i lp=790</v>
      </c>
      <c r="S89" s="37" t="str">
        <f t="shared" si="20"/>
        <v>rokprognozy=2027 i lp=790</v>
      </c>
      <c r="T89" s="37" t="str">
        <f t="shared" si="20"/>
        <v>rokprognozy=2028 i lp=790</v>
      </c>
      <c r="U89" s="37" t="str">
        <f t="shared" si="20"/>
        <v>rokprognozy=2029 i lp=790</v>
      </c>
      <c r="V89" s="37" t="str">
        <f t="shared" si="20"/>
        <v>rokprognozy=2030 i lp=790</v>
      </c>
      <c r="W89" s="37" t="str">
        <f t="shared" si="20"/>
        <v>rokprognozy=2031 i lp=790</v>
      </c>
      <c r="X89" s="37" t="str">
        <f t="shared" si="20"/>
        <v>rokprognozy=2032 i lp=790</v>
      </c>
      <c r="Y89" s="37" t="str">
        <f t="shared" si="20"/>
        <v>rokprognozy=2033 i lp=790</v>
      </c>
      <c r="Z89" s="37" t="str">
        <f t="shared" si="20"/>
        <v>rokprognozy=2034 i lp=790</v>
      </c>
      <c r="AA89" s="37" t="str">
        <f t="shared" si="20"/>
        <v>rokprognozy=2035 i lp=790</v>
      </c>
      <c r="AB89" s="37" t="str">
        <f t="shared" si="20"/>
        <v>rokprognozy=2036 i lp=790</v>
      </c>
      <c r="AC89" s="37" t="str">
        <f t="shared" si="20"/>
        <v>rokprognozy=2037 i lp=790</v>
      </c>
      <c r="AD89" s="37" t="str">
        <f t="shared" si="18"/>
        <v>rokprognozy=2038 i lp=790</v>
      </c>
      <c r="AE89" s="37" t="str">
        <f t="shared" si="18"/>
        <v>rokprognozy=2039 i lp=790</v>
      </c>
      <c r="AF89" s="37" t="str">
        <f t="shared" si="18"/>
        <v>rokprognozy=2040 i lp=790</v>
      </c>
      <c r="AG89" s="37" t="str">
        <f t="shared" si="18"/>
        <v>rokprognozy=2041 i lp=790</v>
      </c>
      <c r="AH89" s="37" t="str">
        <f t="shared" si="18"/>
        <v>rokprognozy=2042 i lp=790</v>
      </c>
    </row>
    <row r="90" spans="1:34" ht="11.25">
      <c r="A90" s="36">
        <v>800</v>
      </c>
      <c r="B90" s="36">
        <v>13.1</v>
      </c>
      <c r="C90" s="37" t="s">
        <v>146</v>
      </c>
      <c r="D90" s="37" t="str">
        <f t="shared" si="17"/>
        <v>rokprognozy=2013 i lp=800</v>
      </c>
      <c r="E90" s="37" t="str">
        <f t="shared" si="19"/>
        <v>rokprognozy=2013 i lp=800</v>
      </c>
      <c r="F90" s="37" t="str">
        <f t="shared" si="19"/>
        <v>rokprognozy=2014 i lp=800</v>
      </c>
      <c r="G90" s="37" t="str">
        <f t="shared" si="19"/>
        <v>rokprognozy=2015 i lp=800</v>
      </c>
      <c r="H90" s="37" t="str">
        <f t="shared" si="19"/>
        <v>rokprognozy=2016 i lp=800</v>
      </c>
      <c r="I90" s="37" t="str">
        <f t="shared" si="19"/>
        <v>rokprognozy=2017 i lp=800</v>
      </c>
      <c r="J90" s="37" t="str">
        <f t="shared" si="19"/>
        <v>rokprognozy=2018 i lp=800</v>
      </c>
      <c r="K90" s="37" t="str">
        <f t="shared" si="19"/>
        <v>rokprognozy=2019 i lp=800</v>
      </c>
      <c r="L90" s="37" t="str">
        <f t="shared" si="19"/>
        <v>rokprognozy=2020 i lp=800</v>
      </c>
      <c r="M90" s="37" t="str">
        <f t="shared" si="19"/>
        <v>rokprognozy=2021 i lp=800</v>
      </c>
      <c r="N90" s="37" t="str">
        <f t="shared" si="20"/>
        <v>rokprognozy=2022 i lp=800</v>
      </c>
      <c r="O90" s="37" t="str">
        <f t="shared" si="20"/>
        <v>rokprognozy=2023 i lp=800</v>
      </c>
      <c r="P90" s="37" t="str">
        <f t="shared" si="20"/>
        <v>rokprognozy=2024 i lp=800</v>
      </c>
      <c r="Q90" s="37" t="str">
        <f t="shared" si="20"/>
        <v>rokprognozy=2025 i lp=800</v>
      </c>
      <c r="R90" s="37" t="str">
        <f t="shared" si="20"/>
        <v>rokprognozy=2026 i lp=800</v>
      </c>
      <c r="S90" s="37" t="str">
        <f t="shared" si="20"/>
        <v>rokprognozy=2027 i lp=800</v>
      </c>
      <c r="T90" s="37" t="str">
        <f t="shared" si="20"/>
        <v>rokprognozy=2028 i lp=800</v>
      </c>
      <c r="U90" s="37" t="str">
        <f t="shared" si="20"/>
        <v>rokprognozy=2029 i lp=800</v>
      </c>
      <c r="V90" s="37" t="str">
        <f t="shared" si="20"/>
        <v>rokprognozy=2030 i lp=800</v>
      </c>
      <c r="W90" s="37" t="str">
        <f t="shared" si="20"/>
        <v>rokprognozy=2031 i lp=800</v>
      </c>
      <c r="X90" s="37" t="str">
        <f t="shared" si="20"/>
        <v>rokprognozy=2032 i lp=800</v>
      </c>
      <c r="Y90" s="37" t="str">
        <f t="shared" si="20"/>
        <v>rokprognozy=2033 i lp=800</v>
      </c>
      <c r="Z90" s="37" t="str">
        <f t="shared" si="20"/>
        <v>rokprognozy=2034 i lp=800</v>
      </c>
      <c r="AA90" s="37" t="str">
        <f t="shared" si="20"/>
        <v>rokprognozy=2035 i lp=800</v>
      </c>
      <c r="AB90" s="37" t="str">
        <f t="shared" si="20"/>
        <v>rokprognozy=2036 i lp=800</v>
      </c>
      <c r="AC90" s="37" t="str">
        <f t="shared" si="20"/>
        <v>rokprognozy=2037 i lp=800</v>
      </c>
      <c r="AD90" s="37" t="str">
        <f t="shared" si="18"/>
        <v>rokprognozy=2038 i lp=800</v>
      </c>
      <c r="AE90" s="37" t="str">
        <f t="shared" si="18"/>
        <v>rokprognozy=2039 i lp=800</v>
      </c>
      <c r="AF90" s="37" t="str">
        <f t="shared" si="18"/>
        <v>rokprognozy=2040 i lp=800</v>
      </c>
      <c r="AG90" s="37" t="str">
        <f t="shared" si="18"/>
        <v>rokprognozy=2041 i lp=800</v>
      </c>
      <c r="AH90" s="37" t="str">
        <f t="shared" si="18"/>
        <v>rokprognozy=2042 i lp=800</v>
      </c>
    </row>
    <row r="91" spans="1:34" ht="11.25">
      <c r="A91" s="36">
        <v>810</v>
      </c>
      <c r="B91" s="36">
        <v>13.2</v>
      </c>
      <c r="C91" s="37" t="s">
        <v>147</v>
      </c>
      <c r="D91" s="37" t="str">
        <f t="shared" si="17"/>
        <v>rokprognozy=2013 i lp=810</v>
      </c>
      <c r="E91" s="37" t="str">
        <f t="shared" si="19"/>
        <v>rokprognozy=2013 i lp=810</v>
      </c>
      <c r="F91" s="37" t="str">
        <f t="shared" si="19"/>
        <v>rokprognozy=2014 i lp=810</v>
      </c>
      <c r="G91" s="37" t="str">
        <f t="shared" si="19"/>
        <v>rokprognozy=2015 i lp=810</v>
      </c>
      <c r="H91" s="37" t="str">
        <f t="shared" si="19"/>
        <v>rokprognozy=2016 i lp=810</v>
      </c>
      <c r="I91" s="37" t="str">
        <f t="shared" si="19"/>
        <v>rokprognozy=2017 i lp=810</v>
      </c>
      <c r="J91" s="37" t="str">
        <f t="shared" si="19"/>
        <v>rokprognozy=2018 i lp=810</v>
      </c>
      <c r="K91" s="37" t="str">
        <f t="shared" si="19"/>
        <v>rokprognozy=2019 i lp=810</v>
      </c>
      <c r="L91" s="37" t="str">
        <f t="shared" si="19"/>
        <v>rokprognozy=2020 i lp=810</v>
      </c>
      <c r="M91" s="37" t="str">
        <f t="shared" si="19"/>
        <v>rokprognozy=2021 i lp=810</v>
      </c>
      <c r="N91" s="37" t="str">
        <f t="shared" si="20"/>
        <v>rokprognozy=2022 i lp=810</v>
      </c>
      <c r="O91" s="37" t="str">
        <f t="shared" si="20"/>
        <v>rokprognozy=2023 i lp=810</v>
      </c>
      <c r="P91" s="37" t="str">
        <f t="shared" si="20"/>
        <v>rokprognozy=2024 i lp=810</v>
      </c>
      <c r="Q91" s="37" t="str">
        <f t="shared" si="20"/>
        <v>rokprognozy=2025 i lp=810</v>
      </c>
      <c r="R91" s="37" t="str">
        <f t="shared" si="20"/>
        <v>rokprognozy=2026 i lp=810</v>
      </c>
      <c r="S91" s="37" t="str">
        <f t="shared" si="20"/>
        <v>rokprognozy=2027 i lp=810</v>
      </c>
      <c r="T91" s="37" t="str">
        <f t="shared" si="20"/>
        <v>rokprognozy=2028 i lp=810</v>
      </c>
      <c r="U91" s="37" t="str">
        <f t="shared" si="20"/>
        <v>rokprognozy=2029 i lp=810</v>
      </c>
      <c r="V91" s="37" t="str">
        <f t="shared" si="20"/>
        <v>rokprognozy=2030 i lp=810</v>
      </c>
      <c r="W91" s="37" t="str">
        <f t="shared" si="20"/>
        <v>rokprognozy=2031 i lp=810</v>
      </c>
      <c r="X91" s="37" t="str">
        <f t="shared" si="20"/>
        <v>rokprognozy=2032 i lp=810</v>
      </c>
      <c r="Y91" s="37" t="str">
        <f t="shared" si="20"/>
        <v>rokprognozy=2033 i lp=810</v>
      </c>
      <c r="Z91" s="37" t="str">
        <f t="shared" si="20"/>
        <v>rokprognozy=2034 i lp=810</v>
      </c>
      <c r="AA91" s="37" t="str">
        <f t="shared" si="20"/>
        <v>rokprognozy=2035 i lp=810</v>
      </c>
      <c r="AB91" s="37" t="str">
        <f t="shared" si="20"/>
        <v>rokprognozy=2036 i lp=810</v>
      </c>
      <c r="AC91" s="37" t="str">
        <f t="shared" si="20"/>
        <v>rokprognozy=2037 i lp=810</v>
      </c>
      <c r="AD91" s="37" t="str">
        <f t="shared" si="18"/>
        <v>rokprognozy=2038 i lp=810</v>
      </c>
      <c r="AE91" s="37" t="str">
        <f t="shared" si="18"/>
        <v>rokprognozy=2039 i lp=810</v>
      </c>
      <c r="AF91" s="37" t="str">
        <f t="shared" si="18"/>
        <v>rokprognozy=2040 i lp=810</v>
      </c>
      <c r="AG91" s="37" t="str">
        <f t="shared" si="18"/>
        <v>rokprognozy=2041 i lp=810</v>
      </c>
      <c r="AH91" s="37" t="str">
        <f t="shared" si="18"/>
        <v>rokprognozy=2042 i lp=810</v>
      </c>
    </row>
    <row r="92" spans="1:34" ht="11.25">
      <c r="A92" s="36">
        <v>820</v>
      </c>
      <c r="B92" s="36">
        <v>13.3</v>
      </c>
      <c r="C92" s="37" t="s">
        <v>148</v>
      </c>
      <c r="D92" s="37" t="str">
        <f t="shared" si="17"/>
        <v>rokprognozy=2013 i lp=820</v>
      </c>
      <c r="E92" s="37" t="str">
        <f t="shared" si="19"/>
        <v>rokprognozy=2013 i lp=820</v>
      </c>
      <c r="F92" s="37" t="str">
        <f t="shared" si="19"/>
        <v>rokprognozy=2014 i lp=820</v>
      </c>
      <c r="G92" s="37" t="str">
        <f t="shared" si="19"/>
        <v>rokprognozy=2015 i lp=820</v>
      </c>
      <c r="H92" s="37" t="str">
        <f t="shared" si="19"/>
        <v>rokprognozy=2016 i lp=820</v>
      </c>
      <c r="I92" s="37" t="str">
        <f t="shared" si="19"/>
        <v>rokprognozy=2017 i lp=820</v>
      </c>
      <c r="J92" s="37" t="str">
        <f t="shared" si="19"/>
        <v>rokprognozy=2018 i lp=820</v>
      </c>
      <c r="K92" s="37" t="str">
        <f t="shared" si="19"/>
        <v>rokprognozy=2019 i lp=820</v>
      </c>
      <c r="L92" s="37" t="str">
        <f t="shared" si="19"/>
        <v>rokprognozy=2020 i lp=820</v>
      </c>
      <c r="M92" s="37" t="str">
        <f t="shared" si="19"/>
        <v>rokprognozy=2021 i lp=820</v>
      </c>
      <c r="N92" s="37" t="str">
        <f t="shared" si="20"/>
        <v>rokprognozy=2022 i lp=820</v>
      </c>
      <c r="O92" s="37" t="str">
        <f t="shared" si="20"/>
        <v>rokprognozy=2023 i lp=820</v>
      </c>
      <c r="P92" s="37" t="str">
        <f t="shared" si="20"/>
        <v>rokprognozy=2024 i lp=820</v>
      </c>
      <c r="Q92" s="37" t="str">
        <f t="shared" si="20"/>
        <v>rokprognozy=2025 i lp=820</v>
      </c>
      <c r="R92" s="37" t="str">
        <f t="shared" si="20"/>
        <v>rokprognozy=2026 i lp=820</v>
      </c>
      <c r="S92" s="37" t="str">
        <f t="shared" si="20"/>
        <v>rokprognozy=2027 i lp=820</v>
      </c>
      <c r="T92" s="37" t="str">
        <f t="shared" si="20"/>
        <v>rokprognozy=2028 i lp=820</v>
      </c>
      <c r="U92" s="37" t="str">
        <f t="shared" si="20"/>
        <v>rokprognozy=2029 i lp=820</v>
      </c>
      <c r="V92" s="37" t="str">
        <f t="shared" si="20"/>
        <v>rokprognozy=2030 i lp=820</v>
      </c>
      <c r="W92" s="37" t="str">
        <f t="shared" si="20"/>
        <v>rokprognozy=2031 i lp=820</v>
      </c>
      <c r="X92" s="37" t="str">
        <f t="shared" si="20"/>
        <v>rokprognozy=2032 i lp=820</v>
      </c>
      <c r="Y92" s="37" t="str">
        <f t="shared" si="20"/>
        <v>rokprognozy=2033 i lp=820</v>
      </c>
      <c r="Z92" s="37" t="str">
        <f t="shared" si="20"/>
        <v>rokprognozy=2034 i lp=820</v>
      </c>
      <c r="AA92" s="37" t="str">
        <f t="shared" si="20"/>
        <v>rokprognozy=2035 i lp=820</v>
      </c>
      <c r="AB92" s="37" t="str">
        <f t="shared" si="20"/>
        <v>rokprognozy=2036 i lp=820</v>
      </c>
      <c r="AC92" s="37" t="str">
        <f t="shared" si="20"/>
        <v>rokprognozy=2037 i lp=820</v>
      </c>
      <c r="AD92" s="37" t="str">
        <f aca="true" t="shared" si="21" ref="AD92:AH104">+"rokprognozy="&amp;AD$9&amp;" i lp="&amp;$A92</f>
        <v>rokprognozy=2038 i lp=820</v>
      </c>
      <c r="AE92" s="37" t="str">
        <f t="shared" si="21"/>
        <v>rokprognozy=2039 i lp=820</v>
      </c>
      <c r="AF92" s="37" t="str">
        <f t="shared" si="21"/>
        <v>rokprognozy=2040 i lp=820</v>
      </c>
      <c r="AG92" s="37" t="str">
        <f t="shared" si="21"/>
        <v>rokprognozy=2041 i lp=820</v>
      </c>
      <c r="AH92" s="37" t="str">
        <f t="shared" si="21"/>
        <v>rokprognozy=2042 i lp=820</v>
      </c>
    </row>
    <row r="93" spans="1:34" ht="11.25">
      <c r="A93" s="36">
        <v>830</v>
      </c>
      <c r="B93" s="36">
        <v>13.4</v>
      </c>
      <c r="C93" s="37" t="s">
        <v>149</v>
      </c>
      <c r="D93" s="37" t="str">
        <f t="shared" si="17"/>
        <v>rokprognozy=2013 i lp=830</v>
      </c>
      <c r="E93" s="37" t="str">
        <f t="shared" si="19"/>
        <v>rokprognozy=2013 i lp=830</v>
      </c>
      <c r="F93" s="37" t="str">
        <f t="shared" si="19"/>
        <v>rokprognozy=2014 i lp=830</v>
      </c>
      <c r="G93" s="37" t="str">
        <f t="shared" si="19"/>
        <v>rokprognozy=2015 i lp=830</v>
      </c>
      <c r="H93" s="37" t="str">
        <f t="shared" si="19"/>
        <v>rokprognozy=2016 i lp=830</v>
      </c>
      <c r="I93" s="37" t="str">
        <f t="shared" si="19"/>
        <v>rokprognozy=2017 i lp=830</v>
      </c>
      <c r="J93" s="37" t="str">
        <f t="shared" si="19"/>
        <v>rokprognozy=2018 i lp=830</v>
      </c>
      <c r="K93" s="37" t="str">
        <f t="shared" si="19"/>
        <v>rokprognozy=2019 i lp=830</v>
      </c>
      <c r="L93" s="37" t="str">
        <f t="shared" si="19"/>
        <v>rokprognozy=2020 i lp=830</v>
      </c>
      <c r="M93" s="37" t="str">
        <f t="shared" si="19"/>
        <v>rokprognozy=2021 i lp=830</v>
      </c>
      <c r="N93" s="37" t="str">
        <f t="shared" si="20"/>
        <v>rokprognozy=2022 i lp=830</v>
      </c>
      <c r="O93" s="37" t="str">
        <f t="shared" si="20"/>
        <v>rokprognozy=2023 i lp=830</v>
      </c>
      <c r="P93" s="37" t="str">
        <f t="shared" si="20"/>
        <v>rokprognozy=2024 i lp=830</v>
      </c>
      <c r="Q93" s="37" t="str">
        <f t="shared" si="20"/>
        <v>rokprognozy=2025 i lp=830</v>
      </c>
      <c r="R93" s="37" t="str">
        <f t="shared" si="20"/>
        <v>rokprognozy=2026 i lp=830</v>
      </c>
      <c r="S93" s="37" t="str">
        <f t="shared" si="20"/>
        <v>rokprognozy=2027 i lp=830</v>
      </c>
      <c r="T93" s="37" t="str">
        <f t="shared" si="20"/>
        <v>rokprognozy=2028 i lp=830</v>
      </c>
      <c r="U93" s="37" t="str">
        <f t="shared" si="20"/>
        <v>rokprognozy=2029 i lp=830</v>
      </c>
      <c r="V93" s="37" t="str">
        <f t="shared" si="20"/>
        <v>rokprognozy=2030 i lp=830</v>
      </c>
      <c r="W93" s="37" t="str">
        <f t="shared" si="20"/>
        <v>rokprognozy=2031 i lp=830</v>
      </c>
      <c r="X93" s="37" t="str">
        <f t="shared" si="20"/>
        <v>rokprognozy=2032 i lp=830</v>
      </c>
      <c r="Y93" s="37" t="str">
        <f t="shared" si="20"/>
        <v>rokprognozy=2033 i lp=830</v>
      </c>
      <c r="Z93" s="37" t="str">
        <f t="shared" si="20"/>
        <v>rokprognozy=2034 i lp=830</v>
      </c>
      <c r="AA93" s="37" t="str">
        <f t="shared" si="20"/>
        <v>rokprognozy=2035 i lp=830</v>
      </c>
      <c r="AB93" s="37" t="str">
        <f t="shared" si="20"/>
        <v>rokprognozy=2036 i lp=830</v>
      </c>
      <c r="AC93" s="37" t="str">
        <f t="shared" si="20"/>
        <v>rokprognozy=2037 i lp=830</v>
      </c>
      <c r="AD93" s="37" t="str">
        <f t="shared" si="21"/>
        <v>rokprognozy=2038 i lp=830</v>
      </c>
      <c r="AE93" s="37" t="str">
        <f t="shared" si="21"/>
        <v>rokprognozy=2039 i lp=830</v>
      </c>
      <c r="AF93" s="37" t="str">
        <f t="shared" si="21"/>
        <v>rokprognozy=2040 i lp=830</v>
      </c>
      <c r="AG93" s="37" t="str">
        <f t="shared" si="21"/>
        <v>rokprognozy=2041 i lp=830</v>
      </c>
      <c r="AH93" s="37" t="str">
        <f t="shared" si="21"/>
        <v>rokprognozy=2042 i lp=830</v>
      </c>
    </row>
    <row r="94" spans="1:34" ht="11.25">
      <c r="A94" s="36">
        <v>840</v>
      </c>
      <c r="B94" s="36">
        <v>13.5</v>
      </c>
      <c r="C94" s="37" t="s">
        <v>150</v>
      </c>
      <c r="D94" s="37" t="str">
        <f t="shared" si="17"/>
        <v>rokprognozy=2013 i lp=840</v>
      </c>
      <c r="E94" s="37" t="str">
        <f t="shared" si="19"/>
        <v>rokprognozy=2013 i lp=840</v>
      </c>
      <c r="F94" s="37" t="str">
        <f t="shared" si="19"/>
        <v>rokprognozy=2014 i lp=840</v>
      </c>
      <c r="G94" s="37" t="str">
        <f t="shared" si="19"/>
        <v>rokprognozy=2015 i lp=840</v>
      </c>
      <c r="H94" s="37" t="str">
        <f t="shared" si="19"/>
        <v>rokprognozy=2016 i lp=840</v>
      </c>
      <c r="I94" s="37" t="str">
        <f t="shared" si="19"/>
        <v>rokprognozy=2017 i lp=840</v>
      </c>
      <c r="J94" s="37" t="str">
        <f t="shared" si="19"/>
        <v>rokprognozy=2018 i lp=840</v>
      </c>
      <c r="K94" s="37" t="str">
        <f t="shared" si="19"/>
        <v>rokprognozy=2019 i lp=840</v>
      </c>
      <c r="L94" s="37" t="str">
        <f t="shared" si="19"/>
        <v>rokprognozy=2020 i lp=840</v>
      </c>
      <c r="M94" s="37" t="str">
        <f t="shared" si="19"/>
        <v>rokprognozy=2021 i lp=840</v>
      </c>
      <c r="N94" s="37" t="str">
        <f t="shared" si="20"/>
        <v>rokprognozy=2022 i lp=840</v>
      </c>
      <c r="O94" s="37" t="str">
        <f t="shared" si="20"/>
        <v>rokprognozy=2023 i lp=840</v>
      </c>
      <c r="P94" s="37" t="str">
        <f t="shared" si="20"/>
        <v>rokprognozy=2024 i lp=840</v>
      </c>
      <c r="Q94" s="37" t="str">
        <f t="shared" si="20"/>
        <v>rokprognozy=2025 i lp=840</v>
      </c>
      <c r="R94" s="37" t="str">
        <f t="shared" si="20"/>
        <v>rokprognozy=2026 i lp=840</v>
      </c>
      <c r="S94" s="37" t="str">
        <f t="shared" si="20"/>
        <v>rokprognozy=2027 i lp=840</v>
      </c>
      <c r="T94" s="37" t="str">
        <f t="shared" si="20"/>
        <v>rokprognozy=2028 i lp=840</v>
      </c>
      <c r="U94" s="37" t="str">
        <f t="shared" si="20"/>
        <v>rokprognozy=2029 i lp=840</v>
      </c>
      <c r="V94" s="37" t="str">
        <f t="shared" si="20"/>
        <v>rokprognozy=2030 i lp=840</v>
      </c>
      <c r="W94" s="37" t="str">
        <f t="shared" si="20"/>
        <v>rokprognozy=2031 i lp=840</v>
      </c>
      <c r="X94" s="37" t="str">
        <f t="shared" si="20"/>
        <v>rokprognozy=2032 i lp=840</v>
      </c>
      <c r="Y94" s="37" t="str">
        <f t="shared" si="20"/>
        <v>rokprognozy=2033 i lp=840</v>
      </c>
      <c r="Z94" s="37" t="str">
        <f t="shared" si="20"/>
        <v>rokprognozy=2034 i lp=840</v>
      </c>
      <c r="AA94" s="37" t="str">
        <f t="shared" si="20"/>
        <v>rokprognozy=2035 i lp=840</v>
      </c>
      <c r="AB94" s="37" t="str">
        <f t="shared" si="20"/>
        <v>rokprognozy=2036 i lp=840</v>
      </c>
      <c r="AC94" s="37" t="str">
        <f t="shared" si="20"/>
        <v>rokprognozy=2037 i lp=840</v>
      </c>
      <c r="AD94" s="37" t="str">
        <f t="shared" si="21"/>
        <v>rokprognozy=2038 i lp=840</v>
      </c>
      <c r="AE94" s="37" t="str">
        <f t="shared" si="21"/>
        <v>rokprognozy=2039 i lp=840</v>
      </c>
      <c r="AF94" s="37" t="str">
        <f t="shared" si="21"/>
        <v>rokprognozy=2040 i lp=840</v>
      </c>
      <c r="AG94" s="37" t="str">
        <f t="shared" si="21"/>
        <v>rokprognozy=2041 i lp=840</v>
      </c>
      <c r="AH94" s="37" t="str">
        <f t="shared" si="21"/>
        <v>rokprognozy=2042 i lp=840</v>
      </c>
    </row>
    <row r="95" spans="1:34" ht="11.25">
      <c r="A95" s="36">
        <v>850</v>
      </c>
      <c r="B95" s="36">
        <v>13.6</v>
      </c>
      <c r="C95" s="37" t="s">
        <v>151</v>
      </c>
      <c r="D95" s="37" t="str">
        <f t="shared" si="17"/>
        <v>rokprognozy=2013 i lp=850</v>
      </c>
      <c r="E95" s="37" t="str">
        <f t="shared" si="19"/>
        <v>rokprognozy=2013 i lp=850</v>
      </c>
      <c r="F95" s="37" t="str">
        <f t="shared" si="19"/>
        <v>rokprognozy=2014 i lp=850</v>
      </c>
      <c r="G95" s="37" t="str">
        <f t="shared" si="19"/>
        <v>rokprognozy=2015 i lp=850</v>
      </c>
      <c r="H95" s="37" t="str">
        <f t="shared" si="19"/>
        <v>rokprognozy=2016 i lp=850</v>
      </c>
      <c r="I95" s="37" t="str">
        <f t="shared" si="19"/>
        <v>rokprognozy=2017 i lp=850</v>
      </c>
      <c r="J95" s="37" t="str">
        <f t="shared" si="19"/>
        <v>rokprognozy=2018 i lp=850</v>
      </c>
      <c r="K95" s="37" t="str">
        <f t="shared" si="19"/>
        <v>rokprognozy=2019 i lp=850</v>
      </c>
      <c r="L95" s="37" t="str">
        <f t="shared" si="19"/>
        <v>rokprognozy=2020 i lp=850</v>
      </c>
      <c r="M95" s="37" t="str">
        <f t="shared" si="19"/>
        <v>rokprognozy=2021 i lp=850</v>
      </c>
      <c r="N95" s="37" t="str">
        <f t="shared" si="20"/>
        <v>rokprognozy=2022 i lp=850</v>
      </c>
      <c r="O95" s="37" t="str">
        <f t="shared" si="20"/>
        <v>rokprognozy=2023 i lp=850</v>
      </c>
      <c r="P95" s="37" t="str">
        <f t="shared" si="20"/>
        <v>rokprognozy=2024 i lp=850</v>
      </c>
      <c r="Q95" s="37" t="str">
        <f t="shared" si="20"/>
        <v>rokprognozy=2025 i lp=850</v>
      </c>
      <c r="R95" s="37" t="str">
        <f t="shared" si="20"/>
        <v>rokprognozy=2026 i lp=850</v>
      </c>
      <c r="S95" s="37" t="str">
        <f t="shared" si="20"/>
        <v>rokprognozy=2027 i lp=850</v>
      </c>
      <c r="T95" s="37" t="str">
        <f t="shared" si="20"/>
        <v>rokprognozy=2028 i lp=850</v>
      </c>
      <c r="U95" s="37" t="str">
        <f t="shared" si="20"/>
        <v>rokprognozy=2029 i lp=850</v>
      </c>
      <c r="V95" s="37" t="str">
        <f t="shared" si="20"/>
        <v>rokprognozy=2030 i lp=850</v>
      </c>
      <c r="W95" s="37" t="str">
        <f t="shared" si="20"/>
        <v>rokprognozy=2031 i lp=850</v>
      </c>
      <c r="X95" s="37" t="str">
        <f t="shared" si="20"/>
        <v>rokprognozy=2032 i lp=850</v>
      </c>
      <c r="Y95" s="37" t="str">
        <f t="shared" si="20"/>
        <v>rokprognozy=2033 i lp=850</v>
      </c>
      <c r="Z95" s="37" t="str">
        <f t="shared" si="20"/>
        <v>rokprognozy=2034 i lp=850</v>
      </c>
      <c r="AA95" s="37" t="str">
        <f t="shared" si="20"/>
        <v>rokprognozy=2035 i lp=850</v>
      </c>
      <c r="AB95" s="37" t="str">
        <f t="shared" si="20"/>
        <v>rokprognozy=2036 i lp=850</v>
      </c>
      <c r="AC95" s="37" t="str">
        <f t="shared" si="20"/>
        <v>rokprognozy=2037 i lp=850</v>
      </c>
      <c r="AD95" s="37" t="str">
        <f t="shared" si="21"/>
        <v>rokprognozy=2038 i lp=850</v>
      </c>
      <c r="AE95" s="37" t="str">
        <f t="shared" si="21"/>
        <v>rokprognozy=2039 i lp=850</v>
      </c>
      <c r="AF95" s="37" t="str">
        <f t="shared" si="21"/>
        <v>rokprognozy=2040 i lp=850</v>
      </c>
      <c r="AG95" s="37" t="str">
        <f t="shared" si="21"/>
        <v>rokprognozy=2041 i lp=850</v>
      </c>
      <c r="AH95" s="37" t="str">
        <f t="shared" si="21"/>
        <v>rokprognozy=2042 i lp=850</v>
      </c>
    </row>
    <row r="96" spans="1:34" ht="11.25">
      <c r="A96" s="36">
        <v>860</v>
      </c>
      <c r="B96" s="36">
        <v>13.7</v>
      </c>
      <c r="C96" s="37" t="s">
        <v>152</v>
      </c>
      <c r="D96" s="37" t="str">
        <f t="shared" si="17"/>
        <v>rokprognozy=2013 i lp=860</v>
      </c>
      <c r="E96" s="37" t="str">
        <f t="shared" si="19"/>
        <v>rokprognozy=2013 i lp=860</v>
      </c>
      <c r="F96" s="37" t="str">
        <f t="shared" si="19"/>
        <v>rokprognozy=2014 i lp=860</v>
      </c>
      <c r="G96" s="37" t="str">
        <f t="shared" si="19"/>
        <v>rokprognozy=2015 i lp=860</v>
      </c>
      <c r="H96" s="37" t="str">
        <f t="shared" si="19"/>
        <v>rokprognozy=2016 i lp=860</v>
      </c>
      <c r="I96" s="37" t="str">
        <f t="shared" si="19"/>
        <v>rokprognozy=2017 i lp=860</v>
      </c>
      <c r="J96" s="37" t="str">
        <f t="shared" si="19"/>
        <v>rokprognozy=2018 i lp=860</v>
      </c>
      <c r="K96" s="37" t="str">
        <f t="shared" si="19"/>
        <v>rokprognozy=2019 i lp=860</v>
      </c>
      <c r="L96" s="37" t="str">
        <f t="shared" si="19"/>
        <v>rokprognozy=2020 i lp=860</v>
      </c>
      <c r="M96" s="37" t="str">
        <f t="shared" si="19"/>
        <v>rokprognozy=2021 i lp=860</v>
      </c>
      <c r="N96" s="37" t="str">
        <f t="shared" si="20"/>
        <v>rokprognozy=2022 i lp=860</v>
      </c>
      <c r="O96" s="37" t="str">
        <f t="shared" si="20"/>
        <v>rokprognozy=2023 i lp=860</v>
      </c>
      <c r="P96" s="37" t="str">
        <f t="shared" si="20"/>
        <v>rokprognozy=2024 i lp=860</v>
      </c>
      <c r="Q96" s="37" t="str">
        <f t="shared" si="20"/>
        <v>rokprognozy=2025 i lp=860</v>
      </c>
      <c r="R96" s="37" t="str">
        <f t="shared" si="20"/>
        <v>rokprognozy=2026 i lp=860</v>
      </c>
      <c r="S96" s="37" t="str">
        <f t="shared" si="20"/>
        <v>rokprognozy=2027 i lp=860</v>
      </c>
      <c r="T96" s="37" t="str">
        <f t="shared" si="20"/>
        <v>rokprognozy=2028 i lp=860</v>
      </c>
      <c r="U96" s="37" t="str">
        <f t="shared" si="20"/>
        <v>rokprognozy=2029 i lp=860</v>
      </c>
      <c r="V96" s="37" t="str">
        <f t="shared" si="20"/>
        <v>rokprognozy=2030 i lp=860</v>
      </c>
      <c r="W96" s="37" t="str">
        <f t="shared" si="20"/>
        <v>rokprognozy=2031 i lp=860</v>
      </c>
      <c r="X96" s="37" t="str">
        <f t="shared" si="20"/>
        <v>rokprognozy=2032 i lp=860</v>
      </c>
      <c r="Y96" s="37" t="str">
        <f t="shared" si="20"/>
        <v>rokprognozy=2033 i lp=860</v>
      </c>
      <c r="Z96" s="37" t="str">
        <f t="shared" si="20"/>
        <v>rokprognozy=2034 i lp=860</v>
      </c>
      <c r="AA96" s="37" t="str">
        <f t="shared" si="20"/>
        <v>rokprognozy=2035 i lp=860</v>
      </c>
      <c r="AB96" s="37" t="str">
        <f t="shared" si="20"/>
        <v>rokprognozy=2036 i lp=860</v>
      </c>
      <c r="AC96" s="37" t="str">
        <f t="shared" si="20"/>
        <v>rokprognozy=2037 i lp=860</v>
      </c>
      <c r="AD96" s="37" t="str">
        <f t="shared" si="21"/>
        <v>rokprognozy=2038 i lp=860</v>
      </c>
      <c r="AE96" s="37" t="str">
        <f t="shared" si="21"/>
        <v>rokprognozy=2039 i lp=860</v>
      </c>
      <c r="AF96" s="37" t="str">
        <f t="shared" si="21"/>
        <v>rokprognozy=2040 i lp=860</v>
      </c>
      <c r="AG96" s="37" t="str">
        <f t="shared" si="21"/>
        <v>rokprognozy=2041 i lp=860</v>
      </c>
      <c r="AH96" s="37" t="str">
        <f t="shared" si="21"/>
        <v>rokprognozy=2042 i lp=860</v>
      </c>
    </row>
    <row r="97" spans="1:34" ht="11.25">
      <c r="A97" s="36">
        <v>870</v>
      </c>
      <c r="B97" s="36">
        <v>14</v>
      </c>
      <c r="C97" s="37" t="s">
        <v>153</v>
      </c>
      <c r="D97" s="37" t="str">
        <f t="shared" si="17"/>
        <v>rokprognozy=2013 i lp=870</v>
      </c>
      <c r="E97" s="37" t="str">
        <f t="shared" si="19"/>
        <v>rokprognozy=2013 i lp=870</v>
      </c>
      <c r="F97" s="37" t="str">
        <f t="shared" si="19"/>
        <v>rokprognozy=2014 i lp=870</v>
      </c>
      <c r="G97" s="37" t="str">
        <f t="shared" si="19"/>
        <v>rokprognozy=2015 i lp=870</v>
      </c>
      <c r="H97" s="37" t="str">
        <f t="shared" si="19"/>
        <v>rokprognozy=2016 i lp=870</v>
      </c>
      <c r="I97" s="37" t="str">
        <f t="shared" si="19"/>
        <v>rokprognozy=2017 i lp=870</v>
      </c>
      <c r="J97" s="37" t="str">
        <f t="shared" si="19"/>
        <v>rokprognozy=2018 i lp=870</v>
      </c>
      <c r="K97" s="37" t="str">
        <f t="shared" si="19"/>
        <v>rokprognozy=2019 i lp=870</v>
      </c>
      <c r="L97" s="37" t="str">
        <f t="shared" si="19"/>
        <v>rokprognozy=2020 i lp=870</v>
      </c>
      <c r="M97" s="37" t="str">
        <f t="shared" si="19"/>
        <v>rokprognozy=2021 i lp=870</v>
      </c>
      <c r="N97" s="37" t="str">
        <f t="shared" si="20"/>
        <v>rokprognozy=2022 i lp=870</v>
      </c>
      <c r="O97" s="37" t="str">
        <f t="shared" si="20"/>
        <v>rokprognozy=2023 i lp=870</v>
      </c>
      <c r="P97" s="37" t="str">
        <f t="shared" si="20"/>
        <v>rokprognozy=2024 i lp=870</v>
      </c>
      <c r="Q97" s="37" t="str">
        <f t="shared" si="20"/>
        <v>rokprognozy=2025 i lp=870</v>
      </c>
      <c r="R97" s="37" t="str">
        <f t="shared" si="20"/>
        <v>rokprognozy=2026 i lp=870</v>
      </c>
      <c r="S97" s="37" t="str">
        <f t="shared" si="20"/>
        <v>rokprognozy=2027 i lp=870</v>
      </c>
      <c r="T97" s="37" t="str">
        <f t="shared" si="20"/>
        <v>rokprognozy=2028 i lp=870</v>
      </c>
      <c r="U97" s="37" t="str">
        <f t="shared" si="20"/>
        <v>rokprognozy=2029 i lp=870</v>
      </c>
      <c r="V97" s="37" t="str">
        <f t="shared" si="20"/>
        <v>rokprognozy=2030 i lp=870</v>
      </c>
      <c r="W97" s="37" t="str">
        <f t="shared" si="20"/>
        <v>rokprognozy=2031 i lp=870</v>
      </c>
      <c r="X97" s="37" t="str">
        <f t="shared" si="20"/>
        <v>rokprognozy=2032 i lp=870</v>
      </c>
      <c r="Y97" s="37" t="str">
        <f t="shared" si="20"/>
        <v>rokprognozy=2033 i lp=870</v>
      </c>
      <c r="Z97" s="37" t="str">
        <f t="shared" si="20"/>
        <v>rokprognozy=2034 i lp=870</v>
      </c>
      <c r="AA97" s="37" t="str">
        <f t="shared" si="20"/>
        <v>rokprognozy=2035 i lp=870</v>
      </c>
      <c r="AB97" s="37" t="str">
        <f t="shared" si="20"/>
        <v>rokprognozy=2036 i lp=870</v>
      </c>
      <c r="AC97" s="37" t="str">
        <f t="shared" si="20"/>
        <v>rokprognozy=2037 i lp=870</v>
      </c>
      <c r="AD97" s="37" t="str">
        <f t="shared" si="21"/>
        <v>rokprognozy=2038 i lp=870</v>
      </c>
      <c r="AE97" s="37" t="str">
        <f t="shared" si="21"/>
        <v>rokprognozy=2039 i lp=870</v>
      </c>
      <c r="AF97" s="37" t="str">
        <f t="shared" si="21"/>
        <v>rokprognozy=2040 i lp=870</v>
      </c>
      <c r="AG97" s="37" t="str">
        <f t="shared" si="21"/>
        <v>rokprognozy=2041 i lp=870</v>
      </c>
      <c r="AH97" s="37" t="str">
        <f t="shared" si="21"/>
        <v>rokprognozy=2042 i lp=870</v>
      </c>
    </row>
    <row r="98" spans="1:34" ht="11.25">
      <c r="A98" s="36">
        <v>880</v>
      </c>
      <c r="B98" s="36">
        <v>14.1</v>
      </c>
      <c r="C98" s="37" t="s">
        <v>154</v>
      </c>
      <c r="D98" s="37" t="str">
        <f t="shared" si="17"/>
        <v>rokprognozy=2013 i lp=880</v>
      </c>
      <c r="E98" s="37" t="str">
        <f t="shared" si="19"/>
        <v>rokprognozy=2013 i lp=880</v>
      </c>
      <c r="F98" s="37" t="str">
        <f t="shared" si="19"/>
        <v>rokprognozy=2014 i lp=880</v>
      </c>
      <c r="G98" s="37" t="str">
        <f t="shared" si="19"/>
        <v>rokprognozy=2015 i lp=880</v>
      </c>
      <c r="H98" s="37" t="str">
        <f t="shared" si="19"/>
        <v>rokprognozy=2016 i lp=880</v>
      </c>
      <c r="I98" s="37" t="str">
        <f t="shared" si="19"/>
        <v>rokprognozy=2017 i lp=880</v>
      </c>
      <c r="J98" s="37" t="str">
        <f t="shared" si="19"/>
        <v>rokprognozy=2018 i lp=880</v>
      </c>
      <c r="K98" s="37" t="str">
        <f t="shared" si="19"/>
        <v>rokprognozy=2019 i lp=880</v>
      </c>
      <c r="L98" s="37" t="str">
        <f t="shared" si="19"/>
        <v>rokprognozy=2020 i lp=880</v>
      </c>
      <c r="M98" s="37" t="str">
        <f t="shared" si="19"/>
        <v>rokprognozy=2021 i lp=880</v>
      </c>
      <c r="N98" s="37" t="str">
        <f t="shared" si="20"/>
        <v>rokprognozy=2022 i lp=880</v>
      </c>
      <c r="O98" s="37" t="str">
        <f t="shared" si="20"/>
        <v>rokprognozy=2023 i lp=880</v>
      </c>
      <c r="P98" s="37" t="str">
        <f t="shared" si="20"/>
        <v>rokprognozy=2024 i lp=880</v>
      </c>
      <c r="Q98" s="37" t="str">
        <f t="shared" si="20"/>
        <v>rokprognozy=2025 i lp=880</v>
      </c>
      <c r="R98" s="37" t="str">
        <f t="shared" si="20"/>
        <v>rokprognozy=2026 i lp=880</v>
      </c>
      <c r="S98" s="37" t="str">
        <f t="shared" si="20"/>
        <v>rokprognozy=2027 i lp=880</v>
      </c>
      <c r="T98" s="37" t="str">
        <f t="shared" si="20"/>
        <v>rokprognozy=2028 i lp=880</v>
      </c>
      <c r="U98" s="37" t="str">
        <f t="shared" si="20"/>
        <v>rokprognozy=2029 i lp=880</v>
      </c>
      <c r="V98" s="37" t="str">
        <f t="shared" si="20"/>
        <v>rokprognozy=2030 i lp=880</v>
      </c>
      <c r="W98" s="37" t="str">
        <f t="shared" si="20"/>
        <v>rokprognozy=2031 i lp=880</v>
      </c>
      <c r="X98" s="37" t="str">
        <f t="shared" si="20"/>
        <v>rokprognozy=2032 i lp=880</v>
      </c>
      <c r="Y98" s="37" t="str">
        <f t="shared" si="20"/>
        <v>rokprognozy=2033 i lp=880</v>
      </c>
      <c r="Z98" s="37" t="str">
        <f t="shared" si="20"/>
        <v>rokprognozy=2034 i lp=880</v>
      </c>
      <c r="AA98" s="37" t="str">
        <f t="shared" si="20"/>
        <v>rokprognozy=2035 i lp=880</v>
      </c>
      <c r="AB98" s="37" t="str">
        <f t="shared" si="20"/>
        <v>rokprognozy=2036 i lp=880</v>
      </c>
      <c r="AC98" s="37" t="str">
        <f t="shared" si="20"/>
        <v>rokprognozy=2037 i lp=880</v>
      </c>
      <c r="AD98" s="37" t="str">
        <f t="shared" si="21"/>
        <v>rokprognozy=2038 i lp=880</v>
      </c>
      <c r="AE98" s="37" t="str">
        <f t="shared" si="21"/>
        <v>rokprognozy=2039 i lp=880</v>
      </c>
      <c r="AF98" s="37" t="str">
        <f t="shared" si="21"/>
        <v>rokprognozy=2040 i lp=880</v>
      </c>
      <c r="AG98" s="37" t="str">
        <f t="shared" si="21"/>
        <v>rokprognozy=2041 i lp=880</v>
      </c>
      <c r="AH98" s="37" t="str">
        <f t="shared" si="21"/>
        <v>rokprognozy=2042 i lp=880</v>
      </c>
    </row>
    <row r="99" spans="1:34" ht="11.25">
      <c r="A99" s="36">
        <v>890</v>
      </c>
      <c r="B99" s="36">
        <v>14.2</v>
      </c>
      <c r="C99" s="37" t="s">
        <v>155</v>
      </c>
      <c r="D99" s="37" t="str">
        <f t="shared" si="17"/>
        <v>rokprognozy=2013 i lp=890</v>
      </c>
      <c r="E99" s="37" t="str">
        <f t="shared" si="19"/>
        <v>rokprognozy=2013 i lp=890</v>
      </c>
      <c r="F99" s="37" t="str">
        <f t="shared" si="19"/>
        <v>rokprognozy=2014 i lp=890</v>
      </c>
      <c r="G99" s="37" t="str">
        <f t="shared" si="19"/>
        <v>rokprognozy=2015 i lp=890</v>
      </c>
      <c r="H99" s="37" t="str">
        <f t="shared" si="19"/>
        <v>rokprognozy=2016 i lp=890</v>
      </c>
      <c r="I99" s="37" t="str">
        <f t="shared" si="19"/>
        <v>rokprognozy=2017 i lp=890</v>
      </c>
      <c r="J99" s="37" t="str">
        <f t="shared" si="19"/>
        <v>rokprognozy=2018 i lp=890</v>
      </c>
      <c r="K99" s="37" t="str">
        <f t="shared" si="19"/>
        <v>rokprognozy=2019 i lp=890</v>
      </c>
      <c r="L99" s="37" t="str">
        <f t="shared" si="19"/>
        <v>rokprognozy=2020 i lp=890</v>
      </c>
      <c r="M99" s="37" t="str">
        <f t="shared" si="19"/>
        <v>rokprognozy=2021 i lp=890</v>
      </c>
      <c r="N99" s="37" t="str">
        <f t="shared" si="20"/>
        <v>rokprognozy=2022 i lp=890</v>
      </c>
      <c r="O99" s="37" t="str">
        <f t="shared" si="20"/>
        <v>rokprognozy=2023 i lp=890</v>
      </c>
      <c r="P99" s="37" t="str">
        <f t="shared" si="20"/>
        <v>rokprognozy=2024 i lp=890</v>
      </c>
      <c r="Q99" s="37" t="str">
        <f t="shared" si="20"/>
        <v>rokprognozy=2025 i lp=890</v>
      </c>
      <c r="R99" s="37" t="str">
        <f t="shared" si="20"/>
        <v>rokprognozy=2026 i lp=890</v>
      </c>
      <c r="S99" s="37" t="str">
        <f t="shared" si="20"/>
        <v>rokprognozy=2027 i lp=890</v>
      </c>
      <c r="T99" s="37" t="str">
        <f t="shared" si="20"/>
        <v>rokprognozy=2028 i lp=890</v>
      </c>
      <c r="U99" s="37" t="str">
        <f t="shared" si="20"/>
        <v>rokprognozy=2029 i lp=890</v>
      </c>
      <c r="V99" s="37" t="str">
        <f t="shared" si="20"/>
        <v>rokprognozy=2030 i lp=890</v>
      </c>
      <c r="W99" s="37" t="str">
        <f t="shared" si="20"/>
        <v>rokprognozy=2031 i lp=890</v>
      </c>
      <c r="X99" s="37" t="str">
        <f t="shared" si="20"/>
        <v>rokprognozy=2032 i lp=890</v>
      </c>
      <c r="Y99" s="37" t="str">
        <f t="shared" si="20"/>
        <v>rokprognozy=2033 i lp=890</v>
      </c>
      <c r="Z99" s="37" t="str">
        <f t="shared" si="20"/>
        <v>rokprognozy=2034 i lp=890</v>
      </c>
      <c r="AA99" s="37" t="str">
        <f t="shared" si="20"/>
        <v>rokprognozy=2035 i lp=890</v>
      </c>
      <c r="AB99" s="37" t="str">
        <f t="shared" si="20"/>
        <v>rokprognozy=2036 i lp=890</v>
      </c>
      <c r="AC99" s="37" t="str">
        <f t="shared" si="20"/>
        <v>rokprognozy=2037 i lp=890</v>
      </c>
      <c r="AD99" s="37" t="str">
        <f t="shared" si="21"/>
        <v>rokprognozy=2038 i lp=890</v>
      </c>
      <c r="AE99" s="37" t="str">
        <f t="shared" si="21"/>
        <v>rokprognozy=2039 i lp=890</v>
      </c>
      <c r="AF99" s="37" t="str">
        <f t="shared" si="21"/>
        <v>rokprognozy=2040 i lp=890</v>
      </c>
      <c r="AG99" s="37" t="str">
        <f t="shared" si="21"/>
        <v>rokprognozy=2041 i lp=890</v>
      </c>
      <c r="AH99" s="37" t="str">
        <f t="shared" si="21"/>
        <v>rokprognozy=2042 i lp=890</v>
      </c>
    </row>
    <row r="100" spans="1:34" ht="11.25">
      <c r="A100" s="36">
        <v>900</v>
      </c>
      <c r="B100" s="36">
        <v>14.3</v>
      </c>
      <c r="C100" s="37" t="s">
        <v>156</v>
      </c>
      <c r="D100" s="37" t="str">
        <f t="shared" si="17"/>
        <v>rokprognozy=2013 i lp=900</v>
      </c>
      <c r="E100" s="37" t="str">
        <f t="shared" si="19"/>
        <v>rokprognozy=2013 i lp=900</v>
      </c>
      <c r="F100" s="37" t="str">
        <f t="shared" si="19"/>
        <v>rokprognozy=2014 i lp=900</v>
      </c>
      <c r="G100" s="37" t="str">
        <f t="shared" si="19"/>
        <v>rokprognozy=2015 i lp=900</v>
      </c>
      <c r="H100" s="37" t="str">
        <f t="shared" si="19"/>
        <v>rokprognozy=2016 i lp=900</v>
      </c>
      <c r="I100" s="37" t="str">
        <f t="shared" si="19"/>
        <v>rokprognozy=2017 i lp=900</v>
      </c>
      <c r="J100" s="37" t="str">
        <f t="shared" si="19"/>
        <v>rokprognozy=2018 i lp=900</v>
      </c>
      <c r="K100" s="37" t="str">
        <f t="shared" si="19"/>
        <v>rokprognozy=2019 i lp=900</v>
      </c>
      <c r="L100" s="37" t="str">
        <f t="shared" si="19"/>
        <v>rokprognozy=2020 i lp=900</v>
      </c>
      <c r="M100" s="37" t="str">
        <f t="shared" si="19"/>
        <v>rokprognozy=2021 i lp=900</v>
      </c>
      <c r="N100" s="37" t="str">
        <f t="shared" si="20"/>
        <v>rokprognozy=2022 i lp=900</v>
      </c>
      <c r="O100" s="37" t="str">
        <f t="shared" si="20"/>
        <v>rokprognozy=2023 i lp=900</v>
      </c>
      <c r="P100" s="37" t="str">
        <f t="shared" si="20"/>
        <v>rokprognozy=2024 i lp=900</v>
      </c>
      <c r="Q100" s="37" t="str">
        <f t="shared" si="20"/>
        <v>rokprognozy=2025 i lp=900</v>
      </c>
      <c r="R100" s="37" t="str">
        <f t="shared" si="20"/>
        <v>rokprognozy=2026 i lp=900</v>
      </c>
      <c r="S100" s="37" t="str">
        <f t="shared" si="20"/>
        <v>rokprognozy=2027 i lp=900</v>
      </c>
      <c r="T100" s="37" t="str">
        <f t="shared" si="20"/>
        <v>rokprognozy=2028 i lp=900</v>
      </c>
      <c r="U100" s="37" t="str">
        <f t="shared" si="20"/>
        <v>rokprognozy=2029 i lp=900</v>
      </c>
      <c r="V100" s="37" t="str">
        <f t="shared" si="20"/>
        <v>rokprognozy=2030 i lp=900</v>
      </c>
      <c r="W100" s="37" t="str">
        <f t="shared" si="20"/>
        <v>rokprognozy=2031 i lp=900</v>
      </c>
      <c r="X100" s="37" t="str">
        <f t="shared" si="20"/>
        <v>rokprognozy=2032 i lp=900</v>
      </c>
      <c r="Y100" s="37" t="str">
        <f t="shared" si="20"/>
        <v>rokprognozy=2033 i lp=900</v>
      </c>
      <c r="Z100" s="37" t="str">
        <f t="shared" si="20"/>
        <v>rokprognozy=2034 i lp=900</v>
      </c>
      <c r="AA100" s="37" t="str">
        <f t="shared" si="20"/>
        <v>rokprognozy=2035 i lp=900</v>
      </c>
      <c r="AB100" s="37" t="str">
        <f t="shared" si="20"/>
        <v>rokprognozy=2036 i lp=900</v>
      </c>
      <c r="AC100" s="37" t="str">
        <f t="shared" si="20"/>
        <v>rokprognozy=2037 i lp=900</v>
      </c>
      <c r="AD100" s="37" t="str">
        <f t="shared" si="21"/>
        <v>rokprognozy=2038 i lp=900</v>
      </c>
      <c r="AE100" s="37" t="str">
        <f t="shared" si="21"/>
        <v>rokprognozy=2039 i lp=900</v>
      </c>
      <c r="AF100" s="37" t="str">
        <f t="shared" si="21"/>
        <v>rokprognozy=2040 i lp=900</v>
      </c>
      <c r="AG100" s="37" t="str">
        <f t="shared" si="21"/>
        <v>rokprognozy=2041 i lp=900</v>
      </c>
      <c r="AH100" s="37" t="str">
        <f t="shared" si="21"/>
        <v>rokprognozy=2042 i lp=900</v>
      </c>
    </row>
    <row r="101" spans="1:34" ht="11.25">
      <c r="A101" s="36">
        <v>910</v>
      </c>
      <c r="B101" s="36" t="s">
        <v>157</v>
      </c>
      <c r="C101" s="37" t="s">
        <v>158</v>
      </c>
      <c r="D101" s="37" t="str">
        <f t="shared" si="17"/>
        <v>rokprognozy=2013 i lp=910</v>
      </c>
      <c r="E101" s="37" t="str">
        <f t="shared" si="19"/>
        <v>rokprognozy=2013 i lp=910</v>
      </c>
      <c r="F101" s="37" t="str">
        <f t="shared" si="19"/>
        <v>rokprognozy=2014 i lp=910</v>
      </c>
      <c r="G101" s="37" t="str">
        <f t="shared" si="19"/>
        <v>rokprognozy=2015 i lp=910</v>
      </c>
      <c r="H101" s="37" t="str">
        <f t="shared" si="19"/>
        <v>rokprognozy=2016 i lp=910</v>
      </c>
      <c r="I101" s="37" t="str">
        <f t="shared" si="19"/>
        <v>rokprognozy=2017 i lp=910</v>
      </c>
      <c r="J101" s="37" t="str">
        <f t="shared" si="19"/>
        <v>rokprognozy=2018 i lp=910</v>
      </c>
      <c r="K101" s="37" t="str">
        <f t="shared" si="19"/>
        <v>rokprognozy=2019 i lp=910</v>
      </c>
      <c r="L101" s="37" t="str">
        <f t="shared" si="19"/>
        <v>rokprognozy=2020 i lp=910</v>
      </c>
      <c r="M101" s="37" t="str">
        <f t="shared" si="19"/>
        <v>rokprognozy=2021 i lp=910</v>
      </c>
      <c r="N101" s="37" t="str">
        <f t="shared" si="20"/>
        <v>rokprognozy=2022 i lp=910</v>
      </c>
      <c r="O101" s="37" t="str">
        <f t="shared" si="20"/>
        <v>rokprognozy=2023 i lp=910</v>
      </c>
      <c r="P101" s="37" t="str">
        <f t="shared" si="20"/>
        <v>rokprognozy=2024 i lp=910</v>
      </c>
      <c r="Q101" s="37" t="str">
        <f t="shared" si="20"/>
        <v>rokprognozy=2025 i lp=910</v>
      </c>
      <c r="R101" s="37" t="str">
        <f t="shared" si="20"/>
        <v>rokprognozy=2026 i lp=910</v>
      </c>
      <c r="S101" s="37" t="str">
        <f t="shared" si="20"/>
        <v>rokprognozy=2027 i lp=910</v>
      </c>
      <c r="T101" s="37" t="str">
        <f t="shared" si="20"/>
        <v>rokprognozy=2028 i lp=910</v>
      </c>
      <c r="U101" s="37" t="str">
        <f t="shared" si="20"/>
        <v>rokprognozy=2029 i lp=910</v>
      </c>
      <c r="V101" s="37" t="str">
        <f t="shared" si="20"/>
        <v>rokprognozy=2030 i lp=910</v>
      </c>
      <c r="W101" s="37" t="str">
        <f t="shared" si="20"/>
        <v>rokprognozy=2031 i lp=910</v>
      </c>
      <c r="X101" s="37" t="str">
        <f t="shared" si="20"/>
        <v>rokprognozy=2032 i lp=910</v>
      </c>
      <c r="Y101" s="37" t="str">
        <f t="shared" si="20"/>
        <v>rokprognozy=2033 i lp=910</v>
      </c>
      <c r="Z101" s="37" t="str">
        <f t="shared" si="20"/>
        <v>rokprognozy=2034 i lp=910</v>
      </c>
      <c r="AA101" s="37" t="str">
        <f t="shared" si="20"/>
        <v>rokprognozy=2035 i lp=910</v>
      </c>
      <c r="AB101" s="37" t="str">
        <f t="shared" si="20"/>
        <v>rokprognozy=2036 i lp=910</v>
      </c>
      <c r="AC101" s="37" t="str">
        <f t="shared" si="20"/>
        <v>rokprognozy=2037 i lp=910</v>
      </c>
      <c r="AD101" s="37" t="str">
        <f t="shared" si="21"/>
        <v>rokprognozy=2038 i lp=910</v>
      </c>
      <c r="AE101" s="37" t="str">
        <f t="shared" si="21"/>
        <v>rokprognozy=2039 i lp=910</v>
      </c>
      <c r="AF101" s="37" t="str">
        <f t="shared" si="21"/>
        <v>rokprognozy=2040 i lp=910</v>
      </c>
      <c r="AG101" s="37" t="str">
        <f t="shared" si="21"/>
        <v>rokprognozy=2041 i lp=910</v>
      </c>
      <c r="AH101" s="37" t="str">
        <f t="shared" si="21"/>
        <v>rokprognozy=2042 i lp=910</v>
      </c>
    </row>
    <row r="102" spans="1:34" ht="11.25">
      <c r="A102" s="36">
        <v>920</v>
      </c>
      <c r="B102" s="36" t="s">
        <v>159</v>
      </c>
      <c r="C102" s="37" t="s">
        <v>160</v>
      </c>
      <c r="D102" s="37" t="str">
        <f t="shared" si="17"/>
        <v>rokprognozy=2013 i lp=920</v>
      </c>
      <c r="E102" s="37" t="str">
        <f t="shared" si="19"/>
        <v>rokprognozy=2013 i lp=920</v>
      </c>
      <c r="F102" s="37" t="str">
        <f t="shared" si="19"/>
        <v>rokprognozy=2014 i lp=920</v>
      </c>
      <c r="G102" s="37" t="str">
        <f t="shared" si="19"/>
        <v>rokprognozy=2015 i lp=920</v>
      </c>
      <c r="H102" s="37" t="str">
        <f t="shared" si="19"/>
        <v>rokprognozy=2016 i lp=920</v>
      </c>
      <c r="I102" s="37" t="str">
        <f t="shared" si="19"/>
        <v>rokprognozy=2017 i lp=920</v>
      </c>
      <c r="J102" s="37" t="str">
        <f t="shared" si="19"/>
        <v>rokprognozy=2018 i lp=920</v>
      </c>
      <c r="K102" s="37" t="str">
        <f t="shared" si="19"/>
        <v>rokprognozy=2019 i lp=920</v>
      </c>
      <c r="L102" s="37" t="str">
        <f t="shared" si="19"/>
        <v>rokprognozy=2020 i lp=920</v>
      </c>
      <c r="M102" s="37" t="str">
        <f t="shared" si="19"/>
        <v>rokprognozy=2021 i lp=920</v>
      </c>
      <c r="N102" s="37" t="str">
        <f t="shared" si="20"/>
        <v>rokprognozy=2022 i lp=920</v>
      </c>
      <c r="O102" s="37" t="str">
        <f t="shared" si="20"/>
        <v>rokprognozy=2023 i lp=920</v>
      </c>
      <c r="P102" s="37" t="str">
        <f t="shared" si="20"/>
        <v>rokprognozy=2024 i lp=920</v>
      </c>
      <c r="Q102" s="37" t="str">
        <f t="shared" si="20"/>
        <v>rokprognozy=2025 i lp=920</v>
      </c>
      <c r="R102" s="37" t="str">
        <f t="shared" si="20"/>
        <v>rokprognozy=2026 i lp=920</v>
      </c>
      <c r="S102" s="37" t="str">
        <f t="shared" si="20"/>
        <v>rokprognozy=2027 i lp=920</v>
      </c>
      <c r="T102" s="37" t="str">
        <f t="shared" si="20"/>
        <v>rokprognozy=2028 i lp=920</v>
      </c>
      <c r="U102" s="37" t="str">
        <f t="shared" si="20"/>
        <v>rokprognozy=2029 i lp=920</v>
      </c>
      <c r="V102" s="37" t="str">
        <f t="shared" si="20"/>
        <v>rokprognozy=2030 i lp=920</v>
      </c>
      <c r="W102" s="37" t="str">
        <f t="shared" si="20"/>
        <v>rokprognozy=2031 i lp=920</v>
      </c>
      <c r="X102" s="37" t="str">
        <f t="shared" si="20"/>
        <v>rokprognozy=2032 i lp=920</v>
      </c>
      <c r="Y102" s="37" t="str">
        <f t="shared" si="20"/>
        <v>rokprognozy=2033 i lp=920</v>
      </c>
      <c r="Z102" s="37" t="str">
        <f t="shared" si="20"/>
        <v>rokprognozy=2034 i lp=920</v>
      </c>
      <c r="AA102" s="37" t="str">
        <f t="shared" si="20"/>
        <v>rokprognozy=2035 i lp=920</v>
      </c>
      <c r="AB102" s="37" t="str">
        <f t="shared" si="20"/>
        <v>rokprognozy=2036 i lp=920</v>
      </c>
      <c r="AC102" s="37" t="str">
        <f t="shared" si="20"/>
        <v>rokprognozy=2037 i lp=920</v>
      </c>
      <c r="AD102" s="37" t="str">
        <f t="shared" si="21"/>
        <v>rokprognozy=2038 i lp=920</v>
      </c>
      <c r="AE102" s="37" t="str">
        <f t="shared" si="21"/>
        <v>rokprognozy=2039 i lp=920</v>
      </c>
      <c r="AF102" s="37" t="str">
        <f t="shared" si="21"/>
        <v>rokprognozy=2040 i lp=920</v>
      </c>
      <c r="AG102" s="37" t="str">
        <f t="shared" si="21"/>
        <v>rokprognozy=2041 i lp=920</v>
      </c>
      <c r="AH102" s="37" t="str">
        <f t="shared" si="21"/>
        <v>rokprognozy=2042 i lp=920</v>
      </c>
    </row>
    <row r="103" spans="1:34" ht="11.25">
      <c r="A103" s="36">
        <v>930</v>
      </c>
      <c r="B103" s="36" t="s">
        <v>161</v>
      </c>
      <c r="C103" s="37" t="s">
        <v>162</v>
      </c>
      <c r="D103" s="37" t="str">
        <f t="shared" si="17"/>
        <v>rokprognozy=2013 i lp=930</v>
      </c>
      <c r="E103" s="37" t="str">
        <f t="shared" si="19"/>
        <v>rokprognozy=2013 i lp=930</v>
      </c>
      <c r="F103" s="37" t="str">
        <f t="shared" si="19"/>
        <v>rokprognozy=2014 i lp=930</v>
      </c>
      <c r="G103" s="37" t="str">
        <f t="shared" si="19"/>
        <v>rokprognozy=2015 i lp=930</v>
      </c>
      <c r="H103" s="37" t="str">
        <f t="shared" si="19"/>
        <v>rokprognozy=2016 i lp=930</v>
      </c>
      <c r="I103" s="37" t="str">
        <f t="shared" si="19"/>
        <v>rokprognozy=2017 i lp=930</v>
      </c>
      <c r="J103" s="37" t="str">
        <f t="shared" si="19"/>
        <v>rokprognozy=2018 i lp=930</v>
      </c>
      <c r="K103" s="37" t="str">
        <f t="shared" si="19"/>
        <v>rokprognozy=2019 i lp=930</v>
      </c>
      <c r="L103" s="37" t="str">
        <f t="shared" si="19"/>
        <v>rokprognozy=2020 i lp=930</v>
      </c>
      <c r="M103" s="37" t="str">
        <f t="shared" si="19"/>
        <v>rokprognozy=2021 i lp=930</v>
      </c>
      <c r="N103" s="37" t="str">
        <f t="shared" si="20"/>
        <v>rokprognozy=2022 i lp=930</v>
      </c>
      <c r="O103" s="37" t="str">
        <f t="shared" si="20"/>
        <v>rokprognozy=2023 i lp=930</v>
      </c>
      <c r="P103" s="37" t="str">
        <f t="shared" si="20"/>
        <v>rokprognozy=2024 i lp=930</v>
      </c>
      <c r="Q103" s="37" t="str">
        <f t="shared" si="20"/>
        <v>rokprognozy=2025 i lp=930</v>
      </c>
      <c r="R103" s="37" t="str">
        <f t="shared" si="20"/>
        <v>rokprognozy=2026 i lp=930</v>
      </c>
      <c r="S103" s="37" t="str">
        <f t="shared" si="20"/>
        <v>rokprognozy=2027 i lp=930</v>
      </c>
      <c r="T103" s="37" t="str">
        <f t="shared" si="20"/>
        <v>rokprognozy=2028 i lp=930</v>
      </c>
      <c r="U103" s="37" t="str">
        <f t="shared" si="20"/>
        <v>rokprognozy=2029 i lp=930</v>
      </c>
      <c r="V103" s="37" t="str">
        <f t="shared" si="20"/>
        <v>rokprognozy=2030 i lp=930</v>
      </c>
      <c r="W103" s="37" t="str">
        <f t="shared" si="20"/>
        <v>rokprognozy=2031 i lp=930</v>
      </c>
      <c r="X103" s="37" t="str">
        <f t="shared" si="20"/>
        <v>rokprognozy=2032 i lp=930</v>
      </c>
      <c r="Y103" s="37" t="str">
        <f t="shared" si="20"/>
        <v>rokprognozy=2033 i lp=930</v>
      </c>
      <c r="Z103" s="37" t="str">
        <f t="shared" si="20"/>
        <v>rokprognozy=2034 i lp=930</v>
      </c>
      <c r="AA103" s="37" t="str">
        <f t="shared" si="20"/>
        <v>rokprognozy=2035 i lp=930</v>
      </c>
      <c r="AB103" s="37" t="str">
        <f t="shared" si="20"/>
        <v>rokprognozy=2036 i lp=930</v>
      </c>
      <c r="AC103" s="37" t="str">
        <f t="shared" si="20"/>
        <v>rokprognozy=2037 i lp=930</v>
      </c>
      <c r="AD103" s="37" t="str">
        <f t="shared" si="21"/>
        <v>rokprognozy=2038 i lp=930</v>
      </c>
      <c r="AE103" s="37" t="str">
        <f t="shared" si="21"/>
        <v>rokprognozy=2039 i lp=930</v>
      </c>
      <c r="AF103" s="37" t="str">
        <f t="shared" si="21"/>
        <v>rokprognozy=2040 i lp=930</v>
      </c>
      <c r="AG103" s="37" t="str">
        <f t="shared" si="21"/>
        <v>rokprognozy=2041 i lp=930</v>
      </c>
      <c r="AH103" s="37" t="str">
        <f t="shared" si="21"/>
        <v>rokprognozy=2042 i lp=930</v>
      </c>
    </row>
    <row r="104" spans="1:34" ht="11.25">
      <c r="A104" s="36">
        <v>940</v>
      </c>
      <c r="B104" s="36">
        <v>14.4</v>
      </c>
      <c r="C104" s="37" t="s">
        <v>163</v>
      </c>
      <c r="D104" s="37" t="str">
        <f t="shared" si="17"/>
        <v>rokprognozy=2013 i lp=940</v>
      </c>
      <c r="E104" s="37" t="str">
        <f t="shared" si="19"/>
        <v>rokprognozy=2013 i lp=940</v>
      </c>
      <c r="F104" s="37" t="str">
        <f t="shared" si="19"/>
        <v>rokprognozy=2014 i lp=940</v>
      </c>
      <c r="G104" s="37" t="str">
        <f t="shared" si="19"/>
        <v>rokprognozy=2015 i lp=940</v>
      </c>
      <c r="H104" s="37" t="str">
        <f t="shared" si="19"/>
        <v>rokprognozy=2016 i lp=940</v>
      </c>
      <c r="I104" s="37" t="str">
        <f t="shared" si="19"/>
        <v>rokprognozy=2017 i lp=940</v>
      </c>
      <c r="J104" s="37" t="str">
        <f t="shared" si="19"/>
        <v>rokprognozy=2018 i lp=940</v>
      </c>
      <c r="K104" s="37" t="str">
        <f t="shared" si="19"/>
        <v>rokprognozy=2019 i lp=940</v>
      </c>
      <c r="L104" s="37" t="str">
        <f t="shared" si="19"/>
        <v>rokprognozy=2020 i lp=940</v>
      </c>
      <c r="M104" s="37" t="str">
        <f t="shared" si="19"/>
        <v>rokprognozy=2021 i lp=940</v>
      </c>
      <c r="N104" s="37" t="str">
        <f t="shared" si="20"/>
        <v>rokprognozy=2022 i lp=940</v>
      </c>
      <c r="O104" s="37" t="str">
        <f t="shared" si="20"/>
        <v>rokprognozy=2023 i lp=940</v>
      </c>
      <c r="P104" s="37" t="str">
        <f t="shared" si="20"/>
        <v>rokprognozy=2024 i lp=940</v>
      </c>
      <c r="Q104" s="37" t="str">
        <f t="shared" si="20"/>
        <v>rokprognozy=2025 i lp=940</v>
      </c>
      <c r="R104" s="37" t="str">
        <f t="shared" si="20"/>
        <v>rokprognozy=2026 i lp=940</v>
      </c>
      <c r="S104" s="37" t="str">
        <f t="shared" si="20"/>
        <v>rokprognozy=2027 i lp=940</v>
      </c>
      <c r="T104" s="37" t="str">
        <f aca="true" t="shared" si="22" ref="T104:AC104">+"rokprognozy="&amp;T$9&amp;" i lp="&amp;$A104</f>
        <v>rokprognozy=2028 i lp=940</v>
      </c>
      <c r="U104" s="37" t="str">
        <f t="shared" si="22"/>
        <v>rokprognozy=2029 i lp=940</v>
      </c>
      <c r="V104" s="37" t="str">
        <f t="shared" si="22"/>
        <v>rokprognozy=2030 i lp=940</v>
      </c>
      <c r="W104" s="37" t="str">
        <f t="shared" si="22"/>
        <v>rokprognozy=2031 i lp=940</v>
      </c>
      <c r="X104" s="37" t="str">
        <f t="shared" si="22"/>
        <v>rokprognozy=2032 i lp=940</v>
      </c>
      <c r="Y104" s="37" t="str">
        <f t="shared" si="22"/>
        <v>rokprognozy=2033 i lp=940</v>
      </c>
      <c r="Z104" s="37" t="str">
        <f t="shared" si="22"/>
        <v>rokprognozy=2034 i lp=940</v>
      </c>
      <c r="AA104" s="37" t="str">
        <f t="shared" si="22"/>
        <v>rokprognozy=2035 i lp=940</v>
      </c>
      <c r="AB104" s="37" t="str">
        <f t="shared" si="22"/>
        <v>rokprognozy=2036 i lp=940</v>
      </c>
      <c r="AC104" s="37" t="str">
        <f t="shared" si="22"/>
        <v>rokprognozy=2037 i lp=940</v>
      </c>
      <c r="AD104" s="37" t="str">
        <f t="shared" si="21"/>
        <v>rokprognozy=2038 i lp=940</v>
      </c>
      <c r="AE104" s="37" t="str">
        <f t="shared" si="21"/>
        <v>rokprognozy=2039 i lp=940</v>
      </c>
      <c r="AF104" s="37" t="str">
        <f t="shared" si="21"/>
        <v>rokprognozy=2040 i lp=940</v>
      </c>
      <c r="AG104" s="37" t="str">
        <f t="shared" si="21"/>
        <v>rokprognozy=2041 i lp=940</v>
      </c>
      <c r="AH104" s="37" t="str">
        <f t="shared" si="21"/>
        <v>rokprognozy=2042 i lp=940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P407"/>
  <sheetViews>
    <sheetView zoomScalePageLayoutView="0" workbookViewId="0" topLeftCell="A1">
      <selection activeCell="O4" sqref="O4:O407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  <col min="16" max="16" width="12.5" style="0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O1" t="s">
        <v>274</v>
      </c>
      <c r="P1">
        <f>MAX(L:L)</f>
        <v>2024</v>
      </c>
    </row>
    <row r="3" spans="1:15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19</v>
      </c>
      <c r="O3" s="5" t="s">
        <v>20</v>
      </c>
    </row>
    <row r="4" spans="1:15" ht="14.25">
      <c r="A4" s="17">
        <v>2013</v>
      </c>
      <c r="B4" s="18" t="s">
        <v>482</v>
      </c>
      <c r="C4" s="18" t="s">
        <v>483</v>
      </c>
      <c r="D4" s="19">
        <v>3021062</v>
      </c>
      <c r="E4" s="19">
        <v>2</v>
      </c>
      <c r="F4" s="19"/>
      <c r="G4" s="19">
        <v>460</v>
      </c>
      <c r="H4" s="19">
        <v>9.2</v>
      </c>
      <c r="I4" s="19" t="s">
        <v>484</v>
      </c>
      <c r="J4" s="19" t="s">
        <v>99</v>
      </c>
      <c r="K4" s="19" t="b">
        <v>0</v>
      </c>
      <c r="L4" s="15">
        <v>2018</v>
      </c>
      <c r="M4" s="16">
        <v>0.0507</v>
      </c>
      <c r="N4" s="20">
        <v>41453</v>
      </c>
      <c r="O4" s="20">
        <v>41453</v>
      </c>
    </row>
    <row r="5" spans="1:15" ht="14.25">
      <c r="A5" s="17">
        <v>2013</v>
      </c>
      <c r="B5" s="18" t="s">
        <v>482</v>
      </c>
      <c r="C5" s="18" t="s">
        <v>483</v>
      </c>
      <c r="D5" s="19">
        <v>3021062</v>
      </c>
      <c r="E5" s="19">
        <v>2</v>
      </c>
      <c r="F5" s="19"/>
      <c r="G5" s="19">
        <v>10</v>
      </c>
      <c r="H5" s="19">
        <v>1</v>
      </c>
      <c r="I5" s="19" t="s">
        <v>485</v>
      </c>
      <c r="J5" s="19" t="s">
        <v>26</v>
      </c>
      <c r="K5" s="19" t="b">
        <v>1</v>
      </c>
      <c r="L5" s="15">
        <v>2022</v>
      </c>
      <c r="M5" s="16">
        <v>23937000</v>
      </c>
      <c r="N5" s="20">
        <v>41453</v>
      </c>
      <c r="O5" s="20">
        <v>41453</v>
      </c>
    </row>
    <row r="6" spans="1:15" ht="14.25">
      <c r="A6" s="17">
        <v>2013</v>
      </c>
      <c r="B6" s="18" t="s">
        <v>482</v>
      </c>
      <c r="C6" s="18" t="s">
        <v>483</v>
      </c>
      <c r="D6" s="19">
        <v>3021062</v>
      </c>
      <c r="E6" s="19">
        <v>2</v>
      </c>
      <c r="F6" s="19"/>
      <c r="G6" s="19">
        <v>450</v>
      </c>
      <c r="H6" s="19">
        <v>9.1</v>
      </c>
      <c r="I6" s="19" t="s">
        <v>486</v>
      </c>
      <c r="J6" s="19" t="s">
        <v>98</v>
      </c>
      <c r="K6" s="19" t="b">
        <v>1</v>
      </c>
      <c r="L6" s="15">
        <v>2021</v>
      </c>
      <c r="M6" s="16">
        <v>0.0361</v>
      </c>
      <c r="N6" s="20">
        <v>41453</v>
      </c>
      <c r="O6" s="20">
        <v>41453</v>
      </c>
    </row>
    <row r="7" spans="1:15" ht="14.25">
      <c r="A7" s="17">
        <v>2013</v>
      </c>
      <c r="B7" s="18" t="s">
        <v>482</v>
      </c>
      <c r="C7" s="18" t="s">
        <v>483</v>
      </c>
      <c r="D7" s="19">
        <v>3021062</v>
      </c>
      <c r="E7" s="19">
        <v>2</v>
      </c>
      <c r="F7" s="19"/>
      <c r="G7" s="19">
        <v>70</v>
      </c>
      <c r="H7" s="19" t="s">
        <v>52</v>
      </c>
      <c r="I7" s="19"/>
      <c r="J7" s="19" t="s">
        <v>53</v>
      </c>
      <c r="K7" s="19" t="b">
        <v>1</v>
      </c>
      <c r="L7" s="15">
        <v>2016</v>
      </c>
      <c r="M7" s="16">
        <v>8005000</v>
      </c>
      <c r="N7" s="20">
        <v>41453</v>
      </c>
      <c r="O7" s="20">
        <v>41453</v>
      </c>
    </row>
    <row r="8" spans="1:15" ht="14.25">
      <c r="A8" s="17">
        <v>2013</v>
      </c>
      <c r="B8" s="18" t="s">
        <v>482</v>
      </c>
      <c r="C8" s="18" t="s">
        <v>483</v>
      </c>
      <c r="D8" s="19">
        <v>3021062</v>
      </c>
      <c r="E8" s="19">
        <v>2</v>
      </c>
      <c r="F8" s="19"/>
      <c r="G8" s="19">
        <v>730</v>
      </c>
      <c r="H8" s="19">
        <v>12.3</v>
      </c>
      <c r="I8" s="19"/>
      <c r="J8" s="19" t="s">
        <v>135</v>
      </c>
      <c r="K8" s="19" t="b">
        <v>0</v>
      </c>
      <c r="L8" s="15">
        <v>2013</v>
      </c>
      <c r="M8" s="16">
        <v>68381.46</v>
      </c>
      <c r="N8" s="20">
        <v>41453</v>
      </c>
      <c r="O8" s="20">
        <v>41453</v>
      </c>
    </row>
    <row r="9" spans="1:15" ht="14.25">
      <c r="A9" s="17">
        <v>2013</v>
      </c>
      <c r="B9" s="18" t="s">
        <v>482</v>
      </c>
      <c r="C9" s="18" t="s">
        <v>483</v>
      </c>
      <c r="D9" s="19">
        <v>3021062</v>
      </c>
      <c r="E9" s="19">
        <v>2</v>
      </c>
      <c r="F9" s="19"/>
      <c r="G9" s="19">
        <v>420</v>
      </c>
      <c r="H9" s="19">
        <v>8.1</v>
      </c>
      <c r="I9" s="19" t="s">
        <v>487</v>
      </c>
      <c r="J9" s="19" t="s">
        <v>96</v>
      </c>
      <c r="K9" s="19" t="b">
        <v>0</v>
      </c>
      <c r="L9" s="15">
        <v>2015</v>
      </c>
      <c r="M9" s="16">
        <v>1246025</v>
      </c>
      <c r="N9" s="20">
        <v>41453</v>
      </c>
      <c r="O9" s="20">
        <v>41453</v>
      </c>
    </row>
    <row r="10" spans="1:15" ht="14.25">
      <c r="A10" s="17">
        <v>2013</v>
      </c>
      <c r="B10" s="18" t="s">
        <v>482</v>
      </c>
      <c r="C10" s="18" t="s">
        <v>483</v>
      </c>
      <c r="D10" s="19">
        <v>3021062</v>
      </c>
      <c r="E10" s="19">
        <v>2</v>
      </c>
      <c r="F10" s="19"/>
      <c r="G10" s="19">
        <v>200</v>
      </c>
      <c r="H10" s="19">
        <v>3</v>
      </c>
      <c r="I10" s="19" t="s">
        <v>488</v>
      </c>
      <c r="J10" s="19" t="s">
        <v>23</v>
      </c>
      <c r="K10" s="19" t="b">
        <v>0</v>
      </c>
      <c r="L10" s="15">
        <v>2019</v>
      </c>
      <c r="M10" s="16">
        <v>775551</v>
      </c>
      <c r="N10" s="20">
        <v>41453</v>
      </c>
      <c r="O10" s="20">
        <v>41453</v>
      </c>
    </row>
    <row r="11" spans="1:15" ht="14.25">
      <c r="A11" s="17">
        <v>2013</v>
      </c>
      <c r="B11" s="18" t="s">
        <v>482</v>
      </c>
      <c r="C11" s="18" t="s">
        <v>483</v>
      </c>
      <c r="D11" s="19">
        <v>3021062</v>
      </c>
      <c r="E11" s="19">
        <v>2</v>
      </c>
      <c r="F11" s="19"/>
      <c r="G11" s="19">
        <v>240</v>
      </c>
      <c r="H11" s="19">
        <v>4.2</v>
      </c>
      <c r="I11" s="19"/>
      <c r="J11" s="19" t="s">
        <v>76</v>
      </c>
      <c r="K11" s="19" t="b">
        <v>0</v>
      </c>
      <c r="L11" s="15">
        <v>2013</v>
      </c>
      <c r="M11" s="16">
        <v>315881</v>
      </c>
      <c r="N11" s="20">
        <v>41453</v>
      </c>
      <c r="O11" s="20">
        <v>41453</v>
      </c>
    </row>
    <row r="12" spans="1:15" ht="14.25">
      <c r="A12" s="17">
        <v>2013</v>
      </c>
      <c r="B12" s="18" t="s">
        <v>482</v>
      </c>
      <c r="C12" s="18" t="s">
        <v>483</v>
      </c>
      <c r="D12" s="19">
        <v>3021062</v>
      </c>
      <c r="E12" s="19">
        <v>2</v>
      </c>
      <c r="F12" s="19"/>
      <c r="G12" s="19">
        <v>200</v>
      </c>
      <c r="H12" s="19">
        <v>3</v>
      </c>
      <c r="I12" s="19" t="s">
        <v>488</v>
      </c>
      <c r="J12" s="19" t="s">
        <v>23</v>
      </c>
      <c r="K12" s="19" t="b">
        <v>0</v>
      </c>
      <c r="L12" s="15">
        <v>2022</v>
      </c>
      <c r="M12" s="16">
        <v>716851</v>
      </c>
      <c r="N12" s="20">
        <v>41453</v>
      </c>
      <c r="O12" s="20">
        <v>41453</v>
      </c>
    </row>
    <row r="13" spans="1:15" ht="14.25">
      <c r="A13" s="17">
        <v>2013</v>
      </c>
      <c r="B13" s="18" t="s">
        <v>482</v>
      </c>
      <c r="C13" s="18" t="s">
        <v>483</v>
      </c>
      <c r="D13" s="19">
        <v>3021062</v>
      </c>
      <c r="E13" s="19">
        <v>2</v>
      </c>
      <c r="F13" s="19"/>
      <c r="G13" s="19">
        <v>190</v>
      </c>
      <c r="H13" s="19">
        <v>2.2</v>
      </c>
      <c r="I13" s="19"/>
      <c r="J13" s="19" t="s">
        <v>72</v>
      </c>
      <c r="K13" s="19" t="b">
        <v>0</v>
      </c>
      <c r="L13" s="15">
        <v>2019</v>
      </c>
      <c r="M13" s="16">
        <v>1477449</v>
      </c>
      <c r="N13" s="20">
        <v>41453</v>
      </c>
      <c r="O13" s="20">
        <v>41453</v>
      </c>
    </row>
    <row r="14" spans="1:15" ht="14.25">
      <c r="A14" s="17">
        <v>2013</v>
      </c>
      <c r="B14" s="18" t="s">
        <v>482</v>
      </c>
      <c r="C14" s="18" t="s">
        <v>483</v>
      </c>
      <c r="D14" s="19">
        <v>3021062</v>
      </c>
      <c r="E14" s="19">
        <v>2</v>
      </c>
      <c r="F14" s="19"/>
      <c r="G14" s="19">
        <v>610</v>
      </c>
      <c r="H14" s="19" t="s">
        <v>117</v>
      </c>
      <c r="I14" s="19"/>
      <c r="J14" s="19" t="s">
        <v>118</v>
      </c>
      <c r="K14" s="19" t="b">
        <v>1</v>
      </c>
      <c r="L14" s="15">
        <v>2014</v>
      </c>
      <c r="M14" s="16">
        <v>97369</v>
      </c>
      <c r="N14" s="20">
        <v>41453</v>
      </c>
      <c r="O14" s="20">
        <v>41453</v>
      </c>
    </row>
    <row r="15" spans="1:15" ht="14.25">
      <c r="A15" s="17">
        <v>2013</v>
      </c>
      <c r="B15" s="18" t="s">
        <v>482</v>
      </c>
      <c r="C15" s="18" t="s">
        <v>483</v>
      </c>
      <c r="D15" s="19">
        <v>3021062</v>
      </c>
      <c r="E15" s="19">
        <v>2</v>
      </c>
      <c r="F15" s="19"/>
      <c r="G15" s="19">
        <v>560</v>
      </c>
      <c r="H15" s="19">
        <v>10.1</v>
      </c>
      <c r="I15" s="19"/>
      <c r="J15" s="19" t="s">
        <v>112</v>
      </c>
      <c r="K15" s="19" t="b">
        <v>0</v>
      </c>
      <c r="L15" s="15">
        <v>2020</v>
      </c>
      <c r="M15" s="16">
        <v>516671</v>
      </c>
      <c r="N15" s="20">
        <v>41453</v>
      </c>
      <c r="O15" s="20">
        <v>41453</v>
      </c>
    </row>
    <row r="16" spans="1:15" ht="14.25">
      <c r="A16" s="17">
        <v>2013</v>
      </c>
      <c r="B16" s="18" t="s">
        <v>482</v>
      </c>
      <c r="C16" s="18" t="s">
        <v>483</v>
      </c>
      <c r="D16" s="19">
        <v>3021062</v>
      </c>
      <c r="E16" s="19">
        <v>2</v>
      </c>
      <c r="F16" s="19"/>
      <c r="G16" s="19">
        <v>560</v>
      </c>
      <c r="H16" s="19">
        <v>10.1</v>
      </c>
      <c r="I16" s="19"/>
      <c r="J16" s="19" t="s">
        <v>112</v>
      </c>
      <c r="K16" s="19" t="b">
        <v>0</v>
      </c>
      <c r="L16" s="15">
        <v>2018</v>
      </c>
      <c r="M16" s="16">
        <v>865515</v>
      </c>
      <c r="N16" s="20">
        <v>41453</v>
      </c>
      <c r="O16" s="20">
        <v>41453</v>
      </c>
    </row>
    <row r="17" spans="1:15" ht="14.25">
      <c r="A17" s="17">
        <v>2013</v>
      </c>
      <c r="B17" s="18" t="s">
        <v>482</v>
      </c>
      <c r="C17" s="18" t="s">
        <v>483</v>
      </c>
      <c r="D17" s="19">
        <v>3021062</v>
      </c>
      <c r="E17" s="19">
        <v>2</v>
      </c>
      <c r="F17" s="19"/>
      <c r="G17" s="19">
        <v>550</v>
      </c>
      <c r="H17" s="19">
        <v>10</v>
      </c>
      <c r="I17" s="19"/>
      <c r="J17" s="19" t="s">
        <v>111</v>
      </c>
      <c r="K17" s="19" t="b">
        <v>0</v>
      </c>
      <c r="L17" s="15">
        <v>2021</v>
      </c>
      <c r="M17" s="16">
        <v>716851</v>
      </c>
      <c r="N17" s="20">
        <v>41453</v>
      </c>
      <c r="O17" s="20">
        <v>41453</v>
      </c>
    </row>
    <row r="18" spans="1:15" ht="14.25">
      <c r="A18" s="17">
        <v>2013</v>
      </c>
      <c r="B18" s="18" t="s">
        <v>482</v>
      </c>
      <c r="C18" s="18" t="s">
        <v>483</v>
      </c>
      <c r="D18" s="19">
        <v>3021062</v>
      </c>
      <c r="E18" s="19">
        <v>2</v>
      </c>
      <c r="F18" s="19"/>
      <c r="G18" s="19">
        <v>310</v>
      </c>
      <c r="H18" s="19">
        <v>5.1</v>
      </c>
      <c r="I18" s="19"/>
      <c r="J18" s="19" t="s">
        <v>84</v>
      </c>
      <c r="K18" s="19" t="b">
        <v>1</v>
      </c>
      <c r="L18" s="15">
        <v>2024</v>
      </c>
      <c r="M18" s="16">
        <v>454350</v>
      </c>
      <c r="N18" s="20">
        <v>41453</v>
      </c>
      <c r="O18" s="20">
        <v>41453</v>
      </c>
    </row>
    <row r="19" spans="1:15" ht="14.25">
      <c r="A19" s="17">
        <v>2013</v>
      </c>
      <c r="B19" s="18" t="s">
        <v>482</v>
      </c>
      <c r="C19" s="18" t="s">
        <v>483</v>
      </c>
      <c r="D19" s="19">
        <v>3021062</v>
      </c>
      <c r="E19" s="19">
        <v>2</v>
      </c>
      <c r="F19" s="19"/>
      <c r="G19" s="19">
        <v>640</v>
      </c>
      <c r="H19" s="19">
        <v>11.5</v>
      </c>
      <c r="I19" s="19"/>
      <c r="J19" s="19" t="s">
        <v>122</v>
      </c>
      <c r="K19" s="19" t="b">
        <v>1</v>
      </c>
      <c r="L19" s="15">
        <v>2013</v>
      </c>
      <c r="M19" s="16">
        <v>1529925</v>
      </c>
      <c r="N19" s="20">
        <v>41453</v>
      </c>
      <c r="O19" s="20">
        <v>41453</v>
      </c>
    </row>
    <row r="20" spans="1:15" ht="14.25">
      <c r="A20" s="17">
        <v>2013</v>
      </c>
      <c r="B20" s="18" t="s">
        <v>482</v>
      </c>
      <c r="C20" s="18" t="s">
        <v>483</v>
      </c>
      <c r="D20" s="19">
        <v>3021062</v>
      </c>
      <c r="E20" s="19">
        <v>2</v>
      </c>
      <c r="F20" s="19"/>
      <c r="G20" s="19">
        <v>560</v>
      </c>
      <c r="H20" s="19">
        <v>10.1</v>
      </c>
      <c r="I20" s="19"/>
      <c r="J20" s="19" t="s">
        <v>112</v>
      </c>
      <c r="K20" s="19" t="b">
        <v>0</v>
      </c>
      <c r="L20" s="15">
        <v>2022</v>
      </c>
      <c r="M20" s="16">
        <v>716851</v>
      </c>
      <c r="N20" s="20">
        <v>41453</v>
      </c>
      <c r="O20" s="20">
        <v>41453</v>
      </c>
    </row>
    <row r="21" spans="1:15" ht="14.25">
      <c r="A21" s="17">
        <v>2013</v>
      </c>
      <c r="B21" s="18" t="s">
        <v>482</v>
      </c>
      <c r="C21" s="18" t="s">
        <v>483</v>
      </c>
      <c r="D21" s="19">
        <v>3021062</v>
      </c>
      <c r="E21" s="19">
        <v>2</v>
      </c>
      <c r="F21" s="19"/>
      <c r="G21" s="19">
        <v>880</v>
      </c>
      <c r="H21" s="19">
        <v>14.1</v>
      </c>
      <c r="I21" s="19"/>
      <c r="J21" s="19" t="s">
        <v>154</v>
      </c>
      <c r="K21" s="19" t="b">
        <v>1</v>
      </c>
      <c r="L21" s="15">
        <v>2019</v>
      </c>
      <c r="M21" s="16">
        <v>695551</v>
      </c>
      <c r="N21" s="20">
        <v>41453</v>
      </c>
      <c r="O21" s="20">
        <v>41453</v>
      </c>
    </row>
    <row r="22" spans="1:15" ht="14.25">
      <c r="A22" s="17">
        <v>2013</v>
      </c>
      <c r="B22" s="18" t="s">
        <v>482</v>
      </c>
      <c r="C22" s="18" t="s">
        <v>483</v>
      </c>
      <c r="D22" s="19">
        <v>3021062</v>
      </c>
      <c r="E22" s="19">
        <v>2</v>
      </c>
      <c r="F22" s="19"/>
      <c r="G22" s="19">
        <v>390</v>
      </c>
      <c r="H22" s="19">
        <v>6.3</v>
      </c>
      <c r="I22" s="19" t="s">
        <v>489</v>
      </c>
      <c r="J22" s="19" t="s">
        <v>94</v>
      </c>
      <c r="K22" s="19" t="b">
        <v>0</v>
      </c>
      <c r="L22" s="15">
        <v>2020</v>
      </c>
      <c r="M22" s="16">
        <v>0.1112</v>
      </c>
      <c r="N22" s="20">
        <v>41453</v>
      </c>
      <c r="O22" s="20">
        <v>41453</v>
      </c>
    </row>
    <row r="23" spans="1:15" ht="14.25">
      <c r="A23" s="17">
        <v>2013</v>
      </c>
      <c r="B23" s="18" t="s">
        <v>482</v>
      </c>
      <c r="C23" s="18" t="s">
        <v>483</v>
      </c>
      <c r="D23" s="19">
        <v>3021062</v>
      </c>
      <c r="E23" s="19">
        <v>2</v>
      </c>
      <c r="F23" s="19"/>
      <c r="G23" s="19">
        <v>430</v>
      </c>
      <c r="H23" s="19">
        <v>8.2</v>
      </c>
      <c r="I23" s="19" t="s">
        <v>490</v>
      </c>
      <c r="J23" s="19" t="s">
        <v>97</v>
      </c>
      <c r="K23" s="19" t="b">
        <v>0</v>
      </c>
      <c r="L23" s="15">
        <v>2014</v>
      </c>
      <c r="M23" s="16">
        <v>693045</v>
      </c>
      <c r="N23" s="20">
        <v>41453</v>
      </c>
      <c r="O23" s="20">
        <v>41453</v>
      </c>
    </row>
    <row r="24" spans="1:15" ht="14.25">
      <c r="A24" s="17">
        <v>2013</v>
      </c>
      <c r="B24" s="18" t="s">
        <v>482</v>
      </c>
      <c r="C24" s="18" t="s">
        <v>483</v>
      </c>
      <c r="D24" s="19">
        <v>3021062</v>
      </c>
      <c r="E24" s="19">
        <v>2</v>
      </c>
      <c r="F24" s="19"/>
      <c r="G24" s="19">
        <v>880</v>
      </c>
      <c r="H24" s="19">
        <v>14.1</v>
      </c>
      <c r="I24" s="19"/>
      <c r="J24" s="19" t="s">
        <v>154</v>
      </c>
      <c r="K24" s="19" t="b">
        <v>1</v>
      </c>
      <c r="L24" s="15">
        <v>2017</v>
      </c>
      <c r="M24" s="16">
        <v>835135</v>
      </c>
      <c r="N24" s="20">
        <v>41453</v>
      </c>
      <c r="O24" s="20">
        <v>41453</v>
      </c>
    </row>
    <row r="25" spans="1:15" ht="14.25">
      <c r="A25" s="17">
        <v>2013</v>
      </c>
      <c r="B25" s="18" t="s">
        <v>482</v>
      </c>
      <c r="C25" s="18" t="s">
        <v>483</v>
      </c>
      <c r="D25" s="19">
        <v>3021062</v>
      </c>
      <c r="E25" s="19">
        <v>2</v>
      </c>
      <c r="F25" s="19"/>
      <c r="G25" s="19">
        <v>600</v>
      </c>
      <c r="H25" s="19">
        <v>11.3</v>
      </c>
      <c r="I25" s="19" t="s">
        <v>491</v>
      </c>
      <c r="J25" s="19" t="s">
        <v>116</v>
      </c>
      <c r="K25" s="19" t="b">
        <v>1</v>
      </c>
      <c r="L25" s="15">
        <v>2015</v>
      </c>
      <c r="M25" s="16">
        <v>1750990</v>
      </c>
      <c r="N25" s="20">
        <v>41453</v>
      </c>
      <c r="O25" s="20">
        <v>41453</v>
      </c>
    </row>
    <row r="26" spans="1:15" ht="14.25">
      <c r="A26" s="17">
        <v>2013</v>
      </c>
      <c r="B26" s="18" t="s">
        <v>482</v>
      </c>
      <c r="C26" s="18" t="s">
        <v>483</v>
      </c>
      <c r="D26" s="19">
        <v>3021062</v>
      </c>
      <c r="E26" s="19">
        <v>2</v>
      </c>
      <c r="F26" s="19"/>
      <c r="G26" s="19">
        <v>590</v>
      </c>
      <c r="H26" s="19">
        <v>11.2</v>
      </c>
      <c r="I26" s="19"/>
      <c r="J26" s="19" t="s">
        <v>115</v>
      </c>
      <c r="K26" s="19" t="b">
        <v>1</v>
      </c>
      <c r="L26" s="15">
        <v>2014</v>
      </c>
      <c r="M26" s="16">
        <v>1738000</v>
      </c>
      <c r="N26" s="20">
        <v>41453</v>
      </c>
      <c r="O26" s="20">
        <v>41453</v>
      </c>
    </row>
    <row r="27" spans="1:15" ht="14.25">
      <c r="A27" s="17">
        <v>2013</v>
      </c>
      <c r="B27" s="18" t="s">
        <v>482</v>
      </c>
      <c r="C27" s="18" t="s">
        <v>483</v>
      </c>
      <c r="D27" s="19">
        <v>3021062</v>
      </c>
      <c r="E27" s="19">
        <v>2</v>
      </c>
      <c r="F27" s="19"/>
      <c r="G27" s="19">
        <v>310</v>
      </c>
      <c r="H27" s="19">
        <v>5.1</v>
      </c>
      <c r="I27" s="19"/>
      <c r="J27" s="19" t="s">
        <v>84</v>
      </c>
      <c r="K27" s="19" t="b">
        <v>1</v>
      </c>
      <c r="L27" s="15">
        <v>2016</v>
      </c>
      <c r="M27" s="16">
        <v>915135</v>
      </c>
      <c r="N27" s="20">
        <v>41453</v>
      </c>
      <c r="O27" s="20">
        <v>41453</v>
      </c>
    </row>
    <row r="28" spans="1:15" ht="14.25">
      <c r="A28" s="17">
        <v>2013</v>
      </c>
      <c r="B28" s="18" t="s">
        <v>482</v>
      </c>
      <c r="C28" s="18" t="s">
        <v>483</v>
      </c>
      <c r="D28" s="19">
        <v>3021062</v>
      </c>
      <c r="E28" s="19">
        <v>2</v>
      </c>
      <c r="F28" s="19"/>
      <c r="G28" s="19">
        <v>40</v>
      </c>
      <c r="H28" s="19" t="s">
        <v>46</v>
      </c>
      <c r="I28" s="19"/>
      <c r="J28" s="19" t="s">
        <v>47</v>
      </c>
      <c r="K28" s="19" t="b">
        <v>1</v>
      </c>
      <c r="L28" s="15">
        <v>2016</v>
      </c>
      <c r="M28" s="16">
        <v>81600</v>
      </c>
      <c r="N28" s="20">
        <v>41453</v>
      </c>
      <c r="O28" s="20">
        <v>41453</v>
      </c>
    </row>
    <row r="29" spans="1:15" ht="14.25">
      <c r="A29" s="17">
        <v>2013</v>
      </c>
      <c r="B29" s="18" t="s">
        <v>482</v>
      </c>
      <c r="C29" s="18" t="s">
        <v>483</v>
      </c>
      <c r="D29" s="19">
        <v>3021062</v>
      </c>
      <c r="E29" s="19">
        <v>2</v>
      </c>
      <c r="F29" s="19"/>
      <c r="G29" s="19">
        <v>560</v>
      </c>
      <c r="H29" s="19">
        <v>10.1</v>
      </c>
      <c r="I29" s="19"/>
      <c r="J29" s="19" t="s">
        <v>112</v>
      </c>
      <c r="K29" s="19" t="b">
        <v>0</v>
      </c>
      <c r="L29" s="15">
        <v>2014</v>
      </c>
      <c r="M29" s="16">
        <v>35035</v>
      </c>
      <c r="N29" s="20">
        <v>41453</v>
      </c>
      <c r="O29" s="20">
        <v>41453</v>
      </c>
    </row>
    <row r="30" spans="1:15" ht="14.25">
      <c r="A30" s="17">
        <v>2013</v>
      </c>
      <c r="B30" s="18" t="s">
        <v>482</v>
      </c>
      <c r="C30" s="18" t="s">
        <v>483</v>
      </c>
      <c r="D30" s="19">
        <v>3021062</v>
      </c>
      <c r="E30" s="19">
        <v>2</v>
      </c>
      <c r="F30" s="19"/>
      <c r="G30" s="19">
        <v>120</v>
      </c>
      <c r="H30" s="19">
        <v>2</v>
      </c>
      <c r="I30" s="19" t="s">
        <v>492</v>
      </c>
      <c r="J30" s="19" t="s">
        <v>21</v>
      </c>
      <c r="K30" s="19" t="b">
        <v>0</v>
      </c>
      <c r="L30" s="15">
        <v>2016</v>
      </c>
      <c r="M30" s="16">
        <v>19784865</v>
      </c>
      <c r="N30" s="20">
        <v>41453</v>
      </c>
      <c r="O30" s="20">
        <v>41453</v>
      </c>
    </row>
    <row r="31" spans="1:15" ht="14.25">
      <c r="A31" s="17">
        <v>2013</v>
      </c>
      <c r="B31" s="18" t="s">
        <v>482</v>
      </c>
      <c r="C31" s="18" t="s">
        <v>483</v>
      </c>
      <c r="D31" s="19">
        <v>3021062</v>
      </c>
      <c r="E31" s="19">
        <v>2</v>
      </c>
      <c r="F31" s="19"/>
      <c r="G31" s="19">
        <v>130</v>
      </c>
      <c r="H31" s="19">
        <v>2.1</v>
      </c>
      <c r="I31" s="19"/>
      <c r="J31" s="19" t="s">
        <v>61</v>
      </c>
      <c r="K31" s="19" t="b">
        <v>1</v>
      </c>
      <c r="L31" s="15">
        <v>2023</v>
      </c>
      <c r="M31" s="16">
        <v>21136000</v>
      </c>
      <c r="N31" s="20">
        <v>41453</v>
      </c>
      <c r="O31" s="20">
        <v>41453</v>
      </c>
    </row>
    <row r="32" spans="1:15" ht="14.25">
      <c r="A32" s="17">
        <v>2013</v>
      </c>
      <c r="B32" s="18" t="s">
        <v>482</v>
      </c>
      <c r="C32" s="18" t="s">
        <v>483</v>
      </c>
      <c r="D32" s="19">
        <v>3021062</v>
      </c>
      <c r="E32" s="19">
        <v>2</v>
      </c>
      <c r="F32" s="19"/>
      <c r="G32" s="19">
        <v>520</v>
      </c>
      <c r="H32" s="19" t="s">
        <v>106</v>
      </c>
      <c r="I32" s="19"/>
      <c r="J32" s="19" t="s">
        <v>493</v>
      </c>
      <c r="K32" s="19" t="b">
        <v>1</v>
      </c>
      <c r="L32" s="15">
        <v>2014</v>
      </c>
      <c r="M32" s="16">
        <v>0.125</v>
      </c>
      <c r="N32" s="20">
        <v>41453</v>
      </c>
      <c r="O32" s="20">
        <v>41453</v>
      </c>
    </row>
    <row r="33" spans="1:15" ht="14.25">
      <c r="A33" s="17">
        <v>2013</v>
      </c>
      <c r="B33" s="18" t="s">
        <v>482</v>
      </c>
      <c r="C33" s="18" t="s">
        <v>483</v>
      </c>
      <c r="D33" s="19">
        <v>3021062</v>
      </c>
      <c r="E33" s="19">
        <v>2</v>
      </c>
      <c r="F33" s="19"/>
      <c r="G33" s="19">
        <v>350</v>
      </c>
      <c r="H33" s="19">
        <v>6</v>
      </c>
      <c r="I33" s="19"/>
      <c r="J33" s="19" t="s">
        <v>27</v>
      </c>
      <c r="K33" s="19" t="b">
        <v>1</v>
      </c>
      <c r="L33" s="15">
        <v>2021</v>
      </c>
      <c r="M33" s="16">
        <v>1840652</v>
      </c>
      <c r="N33" s="20">
        <v>41453</v>
      </c>
      <c r="O33" s="20">
        <v>41453</v>
      </c>
    </row>
    <row r="34" spans="1:15" ht="14.25">
      <c r="A34" s="17">
        <v>2013</v>
      </c>
      <c r="B34" s="18" t="s">
        <v>482</v>
      </c>
      <c r="C34" s="18" t="s">
        <v>483</v>
      </c>
      <c r="D34" s="19">
        <v>3021062</v>
      </c>
      <c r="E34" s="19">
        <v>2</v>
      </c>
      <c r="F34" s="19"/>
      <c r="G34" s="19">
        <v>590</v>
      </c>
      <c r="H34" s="19">
        <v>11.2</v>
      </c>
      <c r="I34" s="19"/>
      <c r="J34" s="19" t="s">
        <v>115</v>
      </c>
      <c r="K34" s="19" t="b">
        <v>1</v>
      </c>
      <c r="L34" s="15">
        <v>2013</v>
      </c>
      <c r="M34" s="16">
        <v>1704850</v>
      </c>
      <c r="N34" s="20">
        <v>41453</v>
      </c>
      <c r="O34" s="20">
        <v>41453</v>
      </c>
    </row>
    <row r="35" spans="1:15" ht="14.25">
      <c r="A35" s="17">
        <v>2013</v>
      </c>
      <c r="B35" s="18" t="s">
        <v>482</v>
      </c>
      <c r="C35" s="18" t="s">
        <v>483</v>
      </c>
      <c r="D35" s="19">
        <v>3021062</v>
      </c>
      <c r="E35" s="19">
        <v>2</v>
      </c>
      <c r="F35" s="19"/>
      <c r="G35" s="19">
        <v>480</v>
      </c>
      <c r="H35" s="19">
        <v>9.4</v>
      </c>
      <c r="I35" s="19" t="s">
        <v>484</v>
      </c>
      <c r="J35" s="19" t="s">
        <v>100</v>
      </c>
      <c r="K35" s="19" t="b">
        <v>0</v>
      </c>
      <c r="L35" s="15">
        <v>2013</v>
      </c>
      <c r="M35" s="16">
        <v>0.0586</v>
      </c>
      <c r="N35" s="20">
        <v>41453</v>
      </c>
      <c r="O35" s="20">
        <v>41453</v>
      </c>
    </row>
    <row r="36" spans="1:15" ht="14.25">
      <c r="A36" s="17">
        <v>2013</v>
      </c>
      <c r="B36" s="18" t="s">
        <v>482</v>
      </c>
      <c r="C36" s="18" t="s">
        <v>483</v>
      </c>
      <c r="D36" s="19">
        <v>3021062</v>
      </c>
      <c r="E36" s="19">
        <v>2</v>
      </c>
      <c r="F36" s="19"/>
      <c r="G36" s="19">
        <v>190</v>
      </c>
      <c r="H36" s="19">
        <v>2.2</v>
      </c>
      <c r="I36" s="19"/>
      <c r="J36" s="19" t="s">
        <v>72</v>
      </c>
      <c r="K36" s="19" t="b">
        <v>0</v>
      </c>
      <c r="L36" s="15">
        <v>2022</v>
      </c>
      <c r="M36" s="16">
        <v>2266149</v>
      </c>
      <c r="N36" s="20">
        <v>41453</v>
      </c>
      <c r="O36" s="20">
        <v>41453</v>
      </c>
    </row>
    <row r="37" spans="1:15" ht="14.25">
      <c r="A37" s="17">
        <v>2013</v>
      </c>
      <c r="B37" s="18" t="s">
        <v>482</v>
      </c>
      <c r="C37" s="18" t="s">
        <v>483</v>
      </c>
      <c r="D37" s="19">
        <v>3021062</v>
      </c>
      <c r="E37" s="19">
        <v>2</v>
      </c>
      <c r="F37" s="19"/>
      <c r="G37" s="19">
        <v>530</v>
      </c>
      <c r="H37" s="19">
        <v>9.8</v>
      </c>
      <c r="I37" s="19" t="s">
        <v>494</v>
      </c>
      <c r="J37" s="19" t="s">
        <v>108</v>
      </c>
      <c r="K37" s="19" t="b">
        <v>0</v>
      </c>
      <c r="L37" s="15">
        <v>2016</v>
      </c>
      <c r="M37" s="16">
        <v>104</v>
      </c>
      <c r="N37" s="20">
        <v>41453</v>
      </c>
      <c r="O37" s="20">
        <v>41453</v>
      </c>
    </row>
    <row r="38" spans="1:15" ht="14.25">
      <c r="A38" s="17">
        <v>2013</v>
      </c>
      <c r="B38" s="18" t="s">
        <v>482</v>
      </c>
      <c r="C38" s="18" t="s">
        <v>483</v>
      </c>
      <c r="D38" s="19">
        <v>3021062</v>
      </c>
      <c r="E38" s="19">
        <v>2</v>
      </c>
      <c r="F38" s="19"/>
      <c r="G38" s="19">
        <v>530</v>
      </c>
      <c r="H38" s="19">
        <v>9.8</v>
      </c>
      <c r="I38" s="19" t="s">
        <v>494</v>
      </c>
      <c r="J38" s="19" t="s">
        <v>108</v>
      </c>
      <c r="K38" s="19" t="b">
        <v>0</v>
      </c>
      <c r="L38" s="15">
        <v>2015</v>
      </c>
      <c r="M38" s="16">
        <v>248</v>
      </c>
      <c r="N38" s="20">
        <v>41453</v>
      </c>
      <c r="O38" s="20">
        <v>41453</v>
      </c>
    </row>
    <row r="39" spans="1:15" ht="14.25">
      <c r="A39" s="17">
        <v>2013</v>
      </c>
      <c r="B39" s="18" t="s">
        <v>482</v>
      </c>
      <c r="C39" s="18" t="s">
        <v>483</v>
      </c>
      <c r="D39" s="19">
        <v>3021062</v>
      </c>
      <c r="E39" s="19">
        <v>2</v>
      </c>
      <c r="F39" s="19"/>
      <c r="G39" s="19">
        <v>200</v>
      </c>
      <c r="H39" s="19">
        <v>3</v>
      </c>
      <c r="I39" s="19" t="s">
        <v>488</v>
      </c>
      <c r="J39" s="19" t="s">
        <v>23</v>
      </c>
      <c r="K39" s="19" t="b">
        <v>0</v>
      </c>
      <c r="L39" s="15">
        <v>2014</v>
      </c>
      <c r="M39" s="16">
        <v>35035</v>
      </c>
      <c r="N39" s="20">
        <v>41453</v>
      </c>
      <c r="O39" s="20">
        <v>41453</v>
      </c>
    </row>
    <row r="40" spans="1:15" ht="14.25">
      <c r="A40" s="17">
        <v>2013</v>
      </c>
      <c r="B40" s="18" t="s">
        <v>482</v>
      </c>
      <c r="C40" s="18" t="s">
        <v>483</v>
      </c>
      <c r="D40" s="19">
        <v>3021062</v>
      </c>
      <c r="E40" s="19">
        <v>2</v>
      </c>
      <c r="F40" s="19"/>
      <c r="G40" s="19">
        <v>520</v>
      </c>
      <c r="H40" s="19" t="s">
        <v>106</v>
      </c>
      <c r="I40" s="19"/>
      <c r="J40" s="19" t="s">
        <v>493</v>
      </c>
      <c r="K40" s="19" t="b">
        <v>1</v>
      </c>
      <c r="L40" s="15">
        <v>2015</v>
      </c>
      <c r="M40" s="16">
        <v>0.0879</v>
      </c>
      <c r="N40" s="20">
        <v>41453</v>
      </c>
      <c r="O40" s="20">
        <v>41453</v>
      </c>
    </row>
    <row r="41" spans="1:15" ht="14.25">
      <c r="A41" s="17">
        <v>2013</v>
      </c>
      <c r="B41" s="18" t="s">
        <v>482</v>
      </c>
      <c r="C41" s="18" t="s">
        <v>483</v>
      </c>
      <c r="D41" s="19">
        <v>3021062</v>
      </c>
      <c r="E41" s="19">
        <v>2</v>
      </c>
      <c r="F41" s="19"/>
      <c r="G41" s="19">
        <v>190</v>
      </c>
      <c r="H41" s="19">
        <v>2.2</v>
      </c>
      <c r="I41" s="19"/>
      <c r="J41" s="19" t="s">
        <v>72</v>
      </c>
      <c r="K41" s="19" t="b">
        <v>0</v>
      </c>
      <c r="L41" s="15">
        <v>2018</v>
      </c>
      <c r="M41" s="16">
        <v>1150485</v>
      </c>
      <c r="N41" s="20">
        <v>41453</v>
      </c>
      <c r="O41" s="20">
        <v>41453</v>
      </c>
    </row>
    <row r="42" spans="1:15" ht="14.25">
      <c r="A42" s="17">
        <v>2013</v>
      </c>
      <c r="B42" s="18" t="s">
        <v>482</v>
      </c>
      <c r="C42" s="18" t="s">
        <v>483</v>
      </c>
      <c r="D42" s="19">
        <v>3021062</v>
      </c>
      <c r="E42" s="19">
        <v>2</v>
      </c>
      <c r="F42" s="19"/>
      <c r="G42" s="19">
        <v>10</v>
      </c>
      <c r="H42" s="19">
        <v>1</v>
      </c>
      <c r="I42" s="19" t="s">
        <v>485</v>
      </c>
      <c r="J42" s="19" t="s">
        <v>26</v>
      </c>
      <c r="K42" s="19" t="b">
        <v>1</v>
      </c>
      <c r="L42" s="15">
        <v>2017</v>
      </c>
      <c r="M42" s="16">
        <v>21300000</v>
      </c>
      <c r="N42" s="20">
        <v>41453</v>
      </c>
      <c r="O42" s="20">
        <v>41453</v>
      </c>
    </row>
    <row r="43" spans="1:15" ht="14.25">
      <c r="A43" s="17">
        <v>2013</v>
      </c>
      <c r="B43" s="18" t="s">
        <v>482</v>
      </c>
      <c r="C43" s="18" t="s">
        <v>483</v>
      </c>
      <c r="D43" s="19">
        <v>3021062</v>
      </c>
      <c r="E43" s="19">
        <v>2</v>
      </c>
      <c r="F43" s="19"/>
      <c r="G43" s="19">
        <v>10</v>
      </c>
      <c r="H43" s="19">
        <v>1</v>
      </c>
      <c r="I43" s="19" t="s">
        <v>485</v>
      </c>
      <c r="J43" s="19" t="s">
        <v>26</v>
      </c>
      <c r="K43" s="19" t="b">
        <v>1</v>
      </c>
      <c r="L43" s="15">
        <v>2014</v>
      </c>
      <c r="M43" s="16">
        <v>19850045</v>
      </c>
      <c r="N43" s="20">
        <v>41453</v>
      </c>
      <c r="O43" s="20">
        <v>41453</v>
      </c>
    </row>
    <row r="44" spans="1:15" ht="14.25">
      <c r="A44" s="17">
        <v>2013</v>
      </c>
      <c r="B44" s="18" t="s">
        <v>482</v>
      </c>
      <c r="C44" s="18" t="s">
        <v>483</v>
      </c>
      <c r="D44" s="19">
        <v>3021062</v>
      </c>
      <c r="E44" s="19">
        <v>2</v>
      </c>
      <c r="F44" s="19"/>
      <c r="G44" s="19">
        <v>470</v>
      </c>
      <c r="H44" s="19">
        <v>9.3</v>
      </c>
      <c r="I44" s="19" t="s">
        <v>486</v>
      </c>
      <c r="J44" s="19" t="s">
        <v>495</v>
      </c>
      <c r="K44" s="19" t="b">
        <v>1</v>
      </c>
      <c r="L44" s="15">
        <v>2021</v>
      </c>
      <c r="M44" s="16">
        <v>0.0361</v>
      </c>
      <c r="N44" s="20">
        <v>41453</v>
      </c>
      <c r="O44" s="20">
        <v>41453</v>
      </c>
    </row>
    <row r="45" spans="1:15" ht="14.25">
      <c r="A45" s="17">
        <v>2013</v>
      </c>
      <c r="B45" s="18" t="s">
        <v>482</v>
      </c>
      <c r="C45" s="18" t="s">
        <v>483</v>
      </c>
      <c r="D45" s="19">
        <v>3021062</v>
      </c>
      <c r="E45" s="19">
        <v>2</v>
      </c>
      <c r="F45" s="19"/>
      <c r="G45" s="19">
        <v>420</v>
      </c>
      <c r="H45" s="19">
        <v>8.1</v>
      </c>
      <c r="I45" s="19" t="s">
        <v>487</v>
      </c>
      <c r="J45" s="19" t="s">
        <v>96</v>
      </c>
      <c r="K45" s="19" t="b">
        <v>0</v>
      </c>
      <c r="L45" s="15">
        <v>2021</v>
      </c>
      <c r="M45" s="16">
        <v>2689000</v>
      </c>
      <c r="N45" s="20">
        <v>41453</v>
      </c>
      <c r="O45" s="20">
        <v>41453</v>
      </c>
    </row>
    <row r="46" spans="1:15" ht="14.25">
      <c r="A46" s="17">
        <v>2013</v>
      </c>
      <c r="B46" s="18" t="s">
        <v>482</v>
      </c>
      <c r="C46" s="18" t="s">
        <v>483</v>
      </c>
      <c r="D46" s="19">
        <v>3021062</v>
      </c>
      <c r="E46" s="19">
        <v>2</v>
      </c>
      <c r="F46" s="19"/>
      <c r="G46" s="19">
        <v>390</v>
      </c>
      <c r="H46" s="19">
        <v>6.3</v>
      </c>
      <c r="I46" s="19" t="s">
        <v>489</v>
      </c>
      <c r="J46" s="19" t="s">
        <v>94</v>
      </c>
      <c r="K46" s="19" t="b">
        <v>0</v>
      </c>
      <c r="L46" s="15">
        <v>2023</v>
      </c>
      <c r="M46" s="16">
        <v>0.0186</v>
      </c>
      <c r="N46" s="20">
        <v>41453</v>
      </c>
      <c r="O46" s="20">
        <v>41453</v>
      </c>
    </row>
    <row r="47" spans="1:15" ht="14.25">
      <c r="A47" s="17">
        <v>2013</v>
      </c>
      <c r="B47" s="18" t="s">
        <v>482</v>
      </c>
      <c r="C47" s="18" t="s">
        <v>483</v>
      </c>
      <c r="D47" s="19">
        <v>3021062</v>
      </c>
      <c r="E47" s="19">
        <v>2</v>
      </c>
      <c r="F47" s="19"/>
      <c r="G47" s="19">
        <v>170</v>
      </c>
      <c r="H47" s="19" t="s">
        <v>68</v>
      </c>
      <c r="I47" s="19"/>
      <c r="J47" s="19" t="s">
        <v>69</v>
      </c>
      <c r="K47" s="19" t="b">
        <v>1</v>
      </c>
      <c r="L47" s="15">
        <v>2020</v>
      </c>
      <c r="M47" s="16">
        <v>163000</v>
      </c>
      <c r="N47" s="20">
        <v>41453</v>
      </c>
      <c r="O47" s="20">
        <v>41453</v>
      </c>
    </row>
    <row r="48" spans="1:15" ht="14.25">
      <c r="A48" s="17">
        <v>2013</v>
      </c>
      <c r="B48" s="18" t="s">
        <v>482</v>
      </c>
      <c r="C48" s="18" t="s">
        <v>483</v>
      </c>
      <c r="D48" s="19">
        <v>3021062</v>
      </c>
      <c r="E48" s="19">
        <v>2</v>
      </c>
      <c r="F48" s="19"/>
      <c r="G48" s="19">
        <v>310</v>
      </c>
      <c r="H48" s="19">
        <v>5.1</v>
      </c>
      <c r="I48" s="19"/>
      <c r="J48" s="19" t="s">
        <v>84</v>
      </c>
      <c r="K48" s="19" t="b">
        <v>1</v>
      </c>
      <c r="L48" s="15">
        <v>2019</v>
      </c>
      <c r="M48" s="16">
        <v>775551</v>
      </c>
      <c r="N48" s="20">
        <v>41453</v>
      </c>
      <c r="O48" s="20">
        <v>41453</v>
      </c>
    </row>
    <row r="49" spans="1:15" ht="14.25">
      <c r="A49" s="17">
        <v>2013</v>
      </c>
      <c r="B49" s="18" t="s">
        <v>482</v>
      </c>
      <c r="C49" s="18" t="s">
        <v>483</v>
      </c>
      <c r="D49" s="19">
        <v>3021062</v>
      </c>
      <c r="E49" s="19">
        <v>2</v>
      </c>
      <c r="F49" s="19"/>
      <c r="G49" s="19">
        <v>190</v>
      </c>
      <c r="H49" s="19">
        <v>2.2</v>
      </c>
      <c r="I49" s="19"/>
      <c r="J49" s="19" t="s">
        <v>72</v>
      </c>
      <c r="K49" s="19" t="b">
        <v>0</v>
      </c>
      <c r="L49" s="15">
        <v>2014</v>
      </c>
      <c r="M49" s="16">
        <v>1208010</v>
      </c>
      <c r="N49" s="20">
        <v>41453</v>
      </c>
      <c r="O49" s="20">
        <v>41453</v>
      </c>
    </row>
    <row r="50" spans="1:15" ht="14.25">
      <c r="A50" s="17">
        <v>2013</v>
      </c>
      <c r="B50" s="18" t="s">
        <v>482</v>
      </c>
      <c r="C50" s="18" t="s">
        <v>483</v>
      </c>
      <c r="D50" s="19">
        <v>3021062</v>
      </c>
      <c r="E50" s="19">
        <v>2</v>
      </c>
      <c r="F50" s="19"/>
      <c r="G50" s="19">
        <v>300</v>
      </c>
      <c r="H50" s="19">
        <v>5</v>
      </c>
      <c r="I50" s="19" t="s">
        <v>496</v>
      </c>
      <c r="J50" s="19" t="s">
        <v>83</v>
      </c>
      <c r="K50" s="19" t="b">
        <v>0</v>
      </c>
      <c r="L50" s="15">
        <v>2019</v>
      </c>
      <c r="M50" s="16">
        <v>775551</v>
      </c>
      <c r="N50" s="20">
        <v>41453</v>
      </c>
      <c r="O50" s="20">
        <v>41453</v>
      </c>
    </row>
    <row r="51" spans="1:15" ht="14.25">
      <c r="A51" s="17">
        <v>2013</v>
      </c>
      <c r="B51" s="18" t="s">
        <v>482</v>
      </c>
      <c r="C51" s="18" t="s">
        <v>483</v>
      </c>
      <c r="D51" s="19">
        <v>3021062</v>
      </c>
      <c r="E51" s="19">
        <v>2</v>
      </c>
      <c r="F51" s="19"/>
      <c r="G51" s="19">
        <v>310</v>
      </c>
      <c r="H51" s="19">
        <v>5.1</v>
      </c>
      <c r="I51" s="19"/>
      <c r="J51" s="19" t="s">
        <v>84</v>
      </c>
      <c r="K51" s="19" t="b">
        <v>1</v>
      </c>
      <c r="L51" s="15">
        <v>2022</v>
      </c>
      <c r="M51" s="16">
        <v>716851</v>
      </c>
      <c r="N51" s="20">
        <v>41453</v>
      </c>
      <c r="O51" s="20">
        <v>41453</v>
      </c>
    </row>
    <row r="52" spans="1:15" ht="14.25">
      <c r="A52" s="17">
        <v>2013</v>
      </c>
      <c r="B52" s="18" t="s">
        <v>482</v>
      </c>
      <c r="C52" s="18" t="s">
        <v>483</v>
      </c>
      <c r="D52" s="19">
        <v>3021062</v>
      </c>
      <c r="E52" s="19">
        <v>2</v>
      </c>
      <c r="F52" s="19"/>
      <c r="G52" s="19">
        <v>120</v>
      </c>
      <c r="H52" s="19">
        <v>2</v>
      </c>
      <c r="I52" s="19" t="s">
        <v>492</v>
      </c>
      <c r="J52" s="19" t="s">
        <v>21</v>
      </c>
      <c r="K52" s="19" t="b">
        <v>0</v>
      </c>
      <c r="L52" s="15">
        <v>2018</v>
      </c>
      <c r="M52" s="16">
        <v>21034485</v>
      </c>
      <c r="N52" s="20">
        <v>41453</v>
      </c>
      <c r="O52" s="20">
        <v>41453</v>
      </c>
    </row>
    <row r="53" spans="1:15" ht="14.25">
      <c r="A53" s="17">
        <v>2013</v>
      </c>
      <c r="B53" s="18" t="s">
        <v>482</v>
      </c>
      <c r="C53" s="18" t="s">
        <v>483</v>
      </c>
      <c r="D53" s="19">
        <v>3021062</v>
      </c>
      <c r="E53" s="19">
        <v>2</v>
      </c>
      <c r="F53" s="19"/>
      <c r="G53" s="19">
        <v>505</v>
      </c>
      <c r="H53" s="19" t="s">
        <v>103</v>
      </c>
      <c r="I53" s="19" t="s">
        <v>497</v>
      </c>
      <c r="J53" s="19" t="s">
        <v>104</v>
      </c>
      <c r="K53" s="19" t="b">
        <v>0</v>
      </c>
      <c r="L53" s="15">
        <v>2019</v>
      </c>
      <c r="M53" s="16">
        <v>0.1001</v>
      </c>
      <c r="N53" s="20">
        <v>41453</v>
      </c>
      <c r="O53" s="20">
        <v>41453</v>
      </c>
    </row>
    <row r="54" spans="1:15" ht="14.25">
      <c r="A54" s="17">
        <v>2013</v>
      </c>
      <c r="B54" s="18" t="s">
        <v>482</v>
      </c>
      <c r="C54" s="18" t="s">
        <v>483</v>
      </c>
      <c r="D54" s="19">
        <v>3021062</v>
      </c>
      <c r="E54" s="19">
        <v>2</v>
      </c>
      <c r="F54" s="19"/>
      <c r="G54" s="19">
        <v>180</v>
      </c>
      <c r="H54" s="19" t="s">
        <v>70</v>
      </c>
      <c r="I54" s="19"/>
      <c r="J54" s="19" t="s">
        <v>71</v>
      </c>
      <c r="K54" s="19" t="b">
        <v>0</v>
      </c>
      <c r="L54" s="15">
        <v>2023</v>
      </c>
      <c r="M54" s="16">
        <v>51000</v>
      </c>
      <c r="N54" s="20">
        <v>41453</v>
      </c>
      <c r="O54" s="20">
        <v>41453</v>
      </c>
    </row>
    <row r="55" spans="1:15" ht="14.25">
      <c r="A55" s="17">
        <v>2013</v>
      </c>
      <c r="B55" s="18" t="s">
        <v>482</v>
      </c>
      <c r="C55" s="18" t="s">
        <v>483</v>
      </c>
      <c r="D55" s="19">
        <v>3021062</v>
      </c>
      <c r="E55" s="19">
        <v>2</v>
      </c>
      <c r="F55" s="19"/>
      <c r="G55" s="19">
        <v>300</v>
      </c>
      <c r="H55" s="19">
        <v>5</v>
      </c>
      <c r="I55" s="19" t="s">
        <v>496</v>
      </c>
      <c r="J55" s="19" t="s">
        <v>83</v>
      </c>
      <c r="K55" s="19" t="b">
        <v>0</v>
      </c>
      <c r="L55" s="15">
        <v>2022</v>
      </c>
      <c r="M55" s="16">
        <v>716851</v>
      </c>
      <c r="N55" s="20">
        <v>41453</v>
      </c>
      <c r="O55" s="20">
        <v>41453</v>
      </c>
    </row>
    <row r="56" spans="1:15" ht="14.25">
      <c r="A56" s="17">
        <v>2013</v>
      </c>
      <c r="B56" s="18" t="s">
        <v>482</v>
      </c>
      <c r="C56" s="18" t="s">
        <v>483</v>
      </c>
      <c r="D56" s="19">
        <v>3021062</v>
      </c>
      <c r="E56" s="19">
        <v>2</v>
      </c>
      <c r="F56" s="19"/>
      <c r="G56" s="19">
        <v>200</v>
      </c>
      <c r="H56" s="19">
        <v>3</v>
      </c>
      <c r="I56" s="19" t="s">
        <v>488</v>
      </c>
      <c r="J56" s="19" t="s">
        <v>23</v>
      </c>
      <c r="K56" s="19" t="b">
        <v>0</v>
      </c>
      <c r="L56" s="15">
        <v>2015</v>
      </c>
      <c r="M56" s="16">
        <v>374035</v>
      </c>
      <c r="N56" s="20">
        <v>41453</v>
      </c>
      <c r="O56" s="20">
        <v>41453</v>
      </c>
    </row>
    <row r="57" spans="1:15" ht="14.25">
      <c r="A57" s="17">
        <v>2013</v>
      </c>
      <c r="B57" s="18" t="s">
        <v>482</v>
      </c>
      <c r="C57" s="18" t="s">
        <v>483</v>
      </c>
      <c r="D57" s="19">
        <v>3021062</v>
      </c>
      <c r="E57" s="19">
        <v>2</v>
      </c>
      <c r="F57" s="19"/>
      <c r="G57" s="19">
        <v>350</v>
      </c>
      <c r="H57" s="19">
        <v>6</v>
      </c>
      <c r="I57" s="19"/>
      <c r="J57" s="19" t="s">
        <v>27</v>
      </c>
      <c r="K57" s="19" t="b">
        <v>1</v>
      </c>
      <c r="L57" s="15">
        <v>2015</v>
      </c>
      <c r="M57" s="16">
        <v>6610390</v>
      </c>
      <c r="N57" s="20">
        <v>41453</v>
      </c>
      <c r="O57" s="20">
        <v>41453</v>
      </c>
    </row>
    <row r="58" spans="1:15" ht="14.25">
      <c r="A58" s="17">
        <v>2013</v>
      </c>
      <c r="B58" s="18" t="s">
        <v>482</v>
      </c>
      <c r="C58" s="18" t="s">
        <v>483</v>
      </c>
      <c r="D58" s="19">
        <v>3021062</v>
      </c>
      <c r="E58" s="19">
        <v>2</v>
      </c>
      <c r="F58" s="19"/>
      <c r="G58" s="19">
        <v>170</v>
      </c>
      <c r="H58" s="19" t="s">
        <v>68</v>
      </c>
      <c r="I58" s="19"/>
      <c r="J58" s="19" t="s">
        <v>69</v>
      </c>
      <c r="K58" s="19" t="b">
        <v>1</v>
      </c>
      <c r="L58" s="15">
        <v>2013</v>
      </c>
      <c r="M58" s="16">
        <v>455000</v>
      </c>
      <c r="N58" s="20">
        <v>41453</v>
      </c>
      <c r="O58" s="20">
        <v>41453</v>
      </c>
    </row>
    <row r="59" spans="1:15" ht="14.25">
      <c r="A59" s="17">
        <v>2013</v>
      </c>
      <c r="B59" s="18" t="s">
        <v>482</v>
      </c>
      <c r="C59" s="18" t="s">
        <v>483</v>
      </c>
      <c r="D59" s="19">
        <v>3021062</v>
      </c>
      <c r="E59" s="19">
        <v>2</v>
      </c>
      <c r="F59" s="19"/>
      <c r="G59" s="19">
        <v>50</v>
      </c>
      <c r="H59" s="19" t="s">
        <v>48</v>
      </c>
      <c r="I59" s="19"/>
      <c r="J59" s="19" t="s">
        <v>49</v>
      </c>
      <c r="K59" s="19" t="b">
        <v>1</v>
      </c>
      <c r="L59" s="15">
        <v>2016</v>
      </c>
      <c r="M59" s="16">
        <v>4125000</v>
      </c>
      <c r="N59" s="20">
        <v>41453</v>
      </c>
      <c r="O59" s="20">
        <v>41453</v>
      </c>
    </row>
    <row r="60" spans="1:15" ht="14.25">
      <c r="A60" s="17">
        <v>2013</v>
      </c>
      <c r="B60" s="18" t="s">
        <v>482</v>
      </c>
      <c r="C60" s="18" t="s">
        <v>483</v>
      </c>
      <c r="D60" s="19">
        <v>3021062</v>
      </c>
      <c r="E60" s="19">
        <v>2</v>
      </c>
      <c r="F60" s="19"/>
      <c r="G60" s="19">
        <v>390</v>
      </c>
      <c r="H60" s="19">
        <v>6.3</v>
      </c>
      <c r="I60" s="19" t="s">
        <v>489</v>
      </c>
      <c r="J60" s="19" t="s">
        <v>94</v>
      </c>
      <c r="K60" s="19" t="b">
        <v>0</v>
      </c>
      <c r="L60" s="15">
        <v>2015</v>
      </c>
      <c r="M60" s="16">
        <v>0.3151</v>
      </c>
      <c r="N60" s="20">
        <v>41453</v>
      </c>
      <c r="O60" s="20">
        <v>41453</v>
      </c>
    </row>
    <row r="61" spans="1:15" ht="14.25">
      <c r="A61" s="17">
        <v>2013</v>
      </c>
      <c r="B61" s="18" t="s">
        <v>482</v>
      </c>
      <c r="C61" s="18" t="s">
        <v>483</v>
      </c>
      <c r="D61" s="19">
        <v>3021062</v>
      </c>
      <c r="E61" s="19">
        <v>2</v>
      </c>
      <c r="F61" s="19"/>
      <c r="G61" s="19">
        <v>170</v>
      </c>
      <c r="H61" s="19" t="s">
        <v>68</v>
      </c>
      <c r="I61" s="19"/>
      <c r="J61" s="19" t="s">
        <v>69</v>
      </c>
      <c r="K61" s="19" t="b">
        <v>1</v>
      </c>
      <c r="L61" s="15">
        <v>2022</v>
      </c>
      <c r="M61" s="16">
        <v>90000</v>
      </c>
      <c r="N61" s="20">
        <v>41453</v>
      </c>
      <c r="O61" s="20">
        <v>41453</v>
      </c>
    </row>
    <row r="62" spans="1:15" ht="14.25">
      <c r="A62" s="17">
        <v>2013</v>
      </c>
      <c r="B62" s="18" t="s">
        <v>482</v>
      </c>
      <c r="C62" s="18" t="s">
        <v>483</v>
      </c>
      <c r="D62" s="19">
        <v>3021062</v>
      </c>
      <c r="E62" s="19">
        <v>2</v>
      </c>
      <c r="F62" s="19"/>
      <c r="G62" s="19">
        <v>500</v>
      </c>
      <c r="H62" s="19">
        <v>9.6</v>
      </c>
      <c r="I62" s="19" t="s">
        <v>498</v>
      </c>
      <c r="J62" s="19" t="s">
        <v>102</v>
      </c>
      <c r="K62" s="19" t="b">
        <v>0</v>
      </c>
      <c r="L62" s="15">
        <v>2024</v>
      </c>
      <c r="M62" s="16">
        <v>0.019</v>
      </c>
      <c r="N62" s="20">
        <v>41453</v>
      </c>
      <c r="O62" s="20">
        <v>41453</v>
      </c>
    </row>
    <row r="63" spans="1:15" ht="14.25">
      <c r="A63" s="17">
        <v>2013</v>
      </c>
      <c r="B63" s="18" t="s">
        <v>482</v>
      </c>
      <c r="C63" s="18" t="s">
        <v>483</v>
      </c>
      <c r="D63" s="19">
        <v>3021062</v>
      </c>
      <c r="E63" s="19">
        <v>2</v>
      </c>
      <c r="F63" s="19"/>
      <c r="G63" s="19">
        <v>200</v>
      </c>
      <c r="H63" s="19">
        <v>3</v>
      </c>
      <c r="I63" s="19" t="s">
        <v>488</v>
      </c>
      <c r="J63" s="19" t="s">
        <v>23</v>
      </c>
      <c r="K63" s="19" t="b">
        <v>0</v>
      </c>
      <c r="L63" s="15">
        <v>2016</v>
      </c>
      <c r="M63" s="16">
        <v>915135</v>
      </c>
      <c r="N63" s="20">
        <v>41453</v>
      </c>
      <c r="O63" s="20">
        <v>41453</v>
      </c>
    </row>
    <row r="64" spans="1:15" ht="14.25">
      <c r="A64" s="17">
        <v>2013</v>
      </c>
      <c r="B64" s="18" t="s">
        <v>482</v>
      </c>
      <c r="C64" s="18" t="s">
        <v>483</v>
      </c>
      <c r="D64" s="19">
        <v>3021062</v>
      </c>
      <c r="E64" s="19">
        <v>2</v>
      </c>
      <c r="F64" s="19"/>
      <c r="G64" s="19">
        <v>130</v>
      </c>
      <c r="H64" s="19">
        <v>2.1</v>
      </c>
      <c r="I64" s="19"/>
      <c r="J64" s="19" t="s">
        <v>61</v>
      </c>
      <c r="K64" s="19" t="b">
        <v>1</v>
      </c>
      <c r="L64" s="15">
        <v>2024</v>
      </c>
      <c r="M64" s="16">
        <v>21326000</v>
      </c>
      <c r="N64" s="20">
        <v>41453</v>
      </c>
      <c r="O64" s="20">
        <v>41453</v>
      </c>
    </row>
    <row r="65" spans="1:15" ht="14.25">
      <c r="A65" s="17">
        <v>2013</v>
      </c>
      <c r="B65" s="18" t="s">
        <v>482</v>
      </c>
      <c r="C65" s="18" t="s">
        <v>483</v>
      </c>
      <c r="D65" s="19">
        <v>3021062</v>
      </c>
      <c r="E65" s="19">
        <v>2</v>
      </c>
      <c r="F65" s="19"/>
      <c r="G65" s="19">
        <v>20</v>
      </c>
      <c r="H65" s="19">
        <v>1.1</v>
      </c>
      <c r="I65" s="19"/>
      <c r="J65" s="19" t="s">
        <v>43</v>
      </c>
      <c r="K65" s="19" t="b">
        <v>1</v>
      </c>
      <c r="L65" s="15">
        <v>2017</v>
      </c>
      <c r="M65" s="16">
        <v>21300000</v>
      </c>
      <c r="N65" s="20">
        <v>41453</v>
      </c>
      <c r="O65" s="20">
        <v>41453</v>
      </c>
    </row>
    <row r="66" spans="1:15" ht="14.25">
      <c r="A66" s="17">
        <v>2013</v>
      </c>
      <c r="B66" s="18" t="s">
        <v>482</v>
      </c>
      <c r="C66" s="18" t="s">
        <v>483</v>
      </c>
      <c r="D66" s="19">
        <v>3021062</v>
      </c>
      <c r="E66" s="19">
        <v>2</v>
      </c>
      <c r="F66" s="19"/>
      <c r="G66" s="19">
        <v>510</v>
      </c>
      <c r="H66" s="19">
        <v>9.7</v>
      </c>
      <c r="I66" s="19"/>
      <c r="J66" s="19" t="s">
        <v>499</v>
      </c>
      <c r="K66" s="19" t="b">
        <v>1</v>
      </c>
      <c r="L66" s="15">
        <v>2017</v>
      </c>
      <c r="M66" s="16">
        <v>0.07</v>
      </c>
      <c r="N66" s="20">
        <v>41453</v>
      </c>
      <c r="O66" s="20">
        <v>41453</v>
      </c>
    </row>
    <row r="67" spans="1:15" ht="14.25">
      <c r="A67" s="17">
        <v>2013</v>
      </c>
      <c r="B67" s="18" t="s">
        <v>482</v>
      </c>
      <c r="C67" s="18" t="s">
        <v>483</v>
      </c>
      <c r="D67" s="19">
        <v>3021062</v>
      </c>
      <c r="E67" s="19">
        <v>2</v>
      </c>
      <c r="F67" s="19"/>
      <c r="G67" s="19">
        <v>130</v>
      </c>
      <c r="H67" s="19">
        <v>2.1</v>
      </c>
      <c r="I67" s="19"/>
      <c r="J67" s="19" t="s">
        <v>61</v>
      </c>
      <c r="K67" s="19" t="b">
        <v>1</v>
      </c>
      <c r="L67" s="15">
        <v>2017</v>
      </c>
      <c r="M67" s="16">
        <v>19530000</v>
      </c>
      <c r="N67" s="20">
        <v>41453</v>
      </c>
      <c r="O67" s="20">
        <v>41453</v>
      </c>
    </row>
    <row r="68" spans="1:15" ht="14.25">
      <c r="A68" s="17">
        <v>2013</v>
      </c>
      <c r="B68" s="18" t="s">
        <v>482</v>
      </c>
      <c r="C68" s="18" t="s">
        <v>483</v>
      </c>
      <c r="D68" s="19">
        <v>3021062</v>
      </c>
      <c r="E68" s="19">
        <v>2</v>
      </c>
      <c r="F68" s="19"/>
      <c r="G68" s="19">
        <v>530</v>
      </c>
      <c r="H68" s="19">
        <v>9.8</v>
      </c>
      <c r="I68" s="19" t="s">
        <v>494</v>
      </c>
      <c r="J68" s="19" t="s">
        <v>108</v>
      </c>
      <c r="K68" s="19" t="b">
        <v>0</v>
      </c>
      <c r="L68" s="15">
        <v>2018</v>
      </c>
      <c r="M68" s="16">
        <v>261</v>
      </c>
      <c r="N68" s="20">
        <v>41453</v>
      </c>
      <c r="O68" s="20">
        <v>41453</v>
      </c>
    </row>
    <row r="69" spans="1:15" ht="14.25">
      <c r="A69" s="17">
        <v>2013</v>
      </c>
      <c r="B69" s="18" t="s">
        <v>482</v>
      </c>
      <c r="C69" s="18" t="s">
        <v>483</v>
      </c>
      <c r="D69" s="19">
        <v>3021062</v>
      </c>
      <c r="E69" s="19">
        <v>2</v>
      </c>
      <c r="F69" s="19"/>
      <c r="G69" s="19">
        <v>180</v>
      </c>
      <c r="H69" s="19" t="s">
        <v>70</v>
      </c>
      <c r="I69" s="19"/>
      <c r="J69" s="19" t="s">
        <v>71</v>
      </c>
      <c r="K69" s="19" t="b">
        <v>0</v>
      </c>
      <c r="L69" s="15">
        <v>2013</v>
      </c>
      <c r="M69" s="16">
        <v>455000</v>
      </c>
      <c r="N69" s="20">
        <v>41453</v>
      </c>
      <c r="O69" s="20">
        <v>41453</v>
      </c>
    </row>
    <row r="70" spans="1:15" ht="14.25">
      <c r="A70" s="17">
        <v>2013</v>
      </c>
      <c r="B70" s="18" t="s">
        <v>482</v>
      </c>
      <c r="C70" s="18" t="s">
        <v>483</v>
      </c>
      <c r="D70" s="19">
        <v>3021062</v>
      </c>
      <c r="E70" s="19">
        <v>2</v>
      </c>
      <c r="F70" s="19"/>
      <c r="G70" s="19">
        <v>460</v>
      </c>
      <c r="H70" s="19">
        <v>9.2</v>
      </c>
      <c r="I70" s="19" t="s">
        <v>484</v>
      </c>
      <c r="J70" s="19" t="s">
        <v>99</v>
      </c>
      <c r="K70" s="19" t="b">
        <v>0</v>
      </c>
      <c r="L70" s="15">
        <v>2014</v>
      </c>
      <c r="M70" s="16">
        <v>0.0626</v>
      </c>
      <c r="N70" s="20">
        <v>41453</v>
      </c>
      <c r="O70" s="20">
        <v>41453</v>
      </c>
    </row>
    <row r="71" spans="1:15" ht="14.25">
      <c r="A71" s="17">
        <v>2013</v>
      </c>
      <c r="B71" s="18" t="s">
        <v>482</v>
      </c>
      <c r="C71" s="18" t="s">
        <v>483</v>
      </c>
      <c r="D71" s="19">
        <v>3021062</v>
      </c>
      <c r="E71" s="19">
        <v>2</v>
      </c>
      <c r="F71" s="19"/>
      <c r="G71" s="19">
        <v>120</v>
      </c>
      <c r="H71" s="19">
        <v>2</v>
      </c>
      <c r="I71" s="19" t="s">
        <v>492</v>
      </c>
      <c r="J71" s="19" t="s">
        <v>21</v>
      </c>
      <c r="K71" s="19" t="b">
        <v>0</v>
      </c>
      <c r="L71" s="15">
        <v>2024</v>
      </c>
      <c r="M71" s="16">
        <v>24445650</v>
      </c>
      <c r="N71" s="20">
        <v>41453</v>
      </c>
      <c r="O71" s="20">
        <v>41453</v>
      </c>
    </row>
    <row r="72" spans="1:15" ht="14.25">
      <c r="A72" s="17">
        <v>2013</v>
      </c>
      <c r="B72" s="18" t="s">
        <v>482</v>
      </c>
      <c r="C72" s="18" t="s">
        <v>483</v>
      </c>
      <c r="D72" s="19">
        <v>3021062</v>
      </c>
      <c r="E72" s="19">
        <v>2</v>
      </c>
      <c r="F72" s="19"/>
      <c r="G72" s="19">
        <v>350</v>
      </c>
      <c r="H72" s="19">
        <v>6</v>
      </c>
      <c r="I72" s="19"/>
      <c r="J72" s="19" t="s">
        <v>27</v>
      </c>
      <c r="K72" s="19" t="b">
        <v>1</v>
      </c>
      <c r="L72" s="15">
        <v>2017</v>
      </c>
      <c r="M72" s="16">
        <v>4780120</v>
      </c>
      <c r="N72" s="20">
        <v>41453</v>
      </c>
      <c r="O72" s="20">
        <v>41453</v>
      </c>
    </row>
    <row r="73" spans="1:15" ht="14.25">
      <c r="A73" s="17">
        <v>2013</v>
      </c>
      <c r="B73" s="18" t="s">
        <v>482</v>
      </c>
      <c r="C73" s="18" t="s">
        <v>483</v>
      </c>
      <c r="D73" s="19">
        <v>3021062</v>
      </c>
      <c r="E73" s="19">
        <v>2</v>
      </c>
      <c r="F73" s="19"/>
      <c r="G73" s="19">
        <v>380</v>
      </c>
      <c r="H73" s="19">
        <v>6.2</v>
      </c>
      <c r="I73" s="19" t="s">
        <v>500</v>
      </c>
      <c r="J73" s="19" t="s">
        <v>93</v>
      </c>
      <c r="K73" s="19" t="b">
        <v>0</v>
      </c>
      <c r="L73" s="15">
        <v>2017</v>
      </c>
      <c r="M73" s="16">
        <v>0.2244</v>
      </c>
      <c r="N73" s="20">
        <v>41453</v>
      </c>
      <c r="O73" s="20">
        <v>41453</v>
      </c>
    </row>
    <row r="74" spans="1:15" ht="14.25">
      <c r="A74" s="17">
        <v>2013</v>
      </c>
      <c r="B74" s="18" t="s">
        <v>482</v>
      </c>
      <c r="C74" s="18" t="s">
        <v>483</v>
      </c>
      <c r="D74" s="19">
        <v>3021062</v>
      </c>
      <c r="E74" s="19">
        <v>2</v>
      </c>
      <c r="F74" s="19"/>
      <c r="G74" s="19">
        <v>200</v>
      </c>
      <c r="H74" s="19">
        <v>3</v>
      </c>
      <c r="I74" s="19" t="s">
        <v>488</v>
      </c>
      <c r="J74" s="19" t="s">
        <v>23</v>
      </c>
      <c r="K74" s="19" t="b">
        <v>0</v>
      </c>
      <c r="L74" s="15">
        <v>2013</v>
      </c>
      <c r="M74" s="16">
        <v>338258</v>
      </c>
      <c r="N74" s="20">
        <v>41453</v>
      </c>
      <c r="O74" s="20">
        <v>41453</v>
      </c>
    </row>
    <row r="75" spans="1:15" ht="14.25">
      <c r="A75" s="17">
        <v>2013</v>
      </c>
      <c r="B75" s="18" t="s">
        <v>482</v>
      </c>
      <c r="C75" s="18" t="s">
        <v>483</v>
      </c>
      <c r="D75" s="19">
        <v>3021062</v>
      </c>
      <c r="E75" s="19">
        <v>2</v>
      </c>
      <c r="F75" s="19"/>
      <c r="G75" s="19">
        <v>210</v>
      </c>
      <c r="H75" s="19">
        <v>4</v>
      </c>
      <c r="I75" s="19" t="s">
        <v>501</v>
      </c>
      <c r="J75" s="19" t="s">
        <v>24</v>
      </c>
      <c r="K75" s="19" t="b">
        <v>0</v>
      </c>
      <c r="L75" s="15">
        <v>2013</v>
      </c>
      <c r="M75" s="16">
        <v>496877</v>
      </c>
      <c r="N75" s="20">
        <v>41453</v>
      </c>
      <c r="O75" s="20">
        <v>41453</v>
      </c>
    </row>
    <row r="76" spans="1:15" ht="14.25">
      <c r="A76" s="17">
        <v>2013</v>
      </c>
      <c r="B76" s="18" t="s">
        <v>482</v>
      </c>
      <c r="C76" s="18" t="s">
        <v>483</v>
      </c>
      <c r="D76" s="19">
        <v>3021062</v>
      </c>
      <c r="E76" s="19">
        <v>2</v>
      </c>
      <c r="F76" s="19"/>
      <c r="G76" s="19">
        <v>200</v>
      </c>
      <c r="H76" s="19">
        <v>3</v>
      </c>
      <c r="I76" s="19" t="s">
        <v>488</v>
      </c>
      <c r="J76" s="19" t="s">
        <v>23</v>
      </c>
      <c r="K76" s="19" t="b">
        <v>0</v>
      </c>
      <c r="L76" s="15">
        <v>2018</v>
      </c>
      <c r="M76" s="16">
        <v>865515</v>
      </c>
      <c r="N76" s="20">
        <v>41453</v>
      </c>
      <c r="O76" s="20">
        <v>41453</v>
      </c>
    </row>
    <row r="77" spans="1:15" ht="14.25">
      <c r="A77" s="17">
        <v>2013</v>
      </c>
      <c r="B77" s="18" t="s">
        <v>482</v>
      </c>
      <c r="C77" s="18" t="s">
        <v>483</v>
      </c>
      <c r="D77" s="19">
        <v>3021062</v>
      </c>
      <c r="E77" s="19">
        <v>2</v>
      </c>
      <c r="F77" s="19"/>
      <c r="G77" s="19">
        <v>540</v>
      </c>
      <c r="H77" s="19" t="s">
        <v>109</v>
      </c>
      <c r="I77" s="19" t="s">
        <v>502</v>
      </c>
      <c r="J77" s="19" t="s">
        <v>110</v>
      </c>
      <c r="K77" s="19" t="b">
        <v>0</v>
      </c>
      <c r="L77" s="15">
        <v>2016</v>
      </c>
      <c r="M77" s="16">
        <v>104</v>
      </c>
      <c r="N77" s="20">
        <v>41453</v>
      </c>
      <c r="O77" s="20">
        <v>41453</v>
      </c>
    </row>
    <row r="78" spans="1:15" ht="14.25">
      <c r="A78" s="17">
        <v>2013</v>
      </c>
      <c r="B78" s="18" t="s">
        <v>482</v>
      </c>
      <c r="C78" s="18" t="s">
        <v>483</v>
      </c>
      <c r="D78" s="19">
        <v>3021062</v>
      </c>
      <c r="E78" s="19">
        <v>2</v>
      </c>
      <c r="F78" s="19"/>
      <c r="G78" s="19">
        <v>540</v>
      </c>
      <c r="H78" s="19" t="s">
        <v>109</v>
      </c>
      <c r="I78" s="19" t="s">
        <v>502</v>
      </c>
      <c r="J78" s="19" t="s">
        <v>110</v>
      </c>
      <c r="K78" s="19" t="b">
        <v>0</v>
      </c>
      <c r="L78" s="15">
        <v>2020</v>
      </c>
      <c r="M78" s="16">
        <v>594</v>
      </c>
      <c r="N78" s="20">
        <v>41453</v>
      </c>
      <c r="O78" s="20">
        <v>41453</v>
      </c>
    </row>
    <row r="79" spans="1:15" ht="14.25">
      <c r="A79" s="17">
        <v>2013</v>
      </c>
      <c r="B79" s="18" t="s">
        <v>482</v>
      </c>
      <c r="C79" s="18" t="s">
        <v>483</v>
      </c>
      <c r="D79" s="19">
        <v>3021062</v>
      </c>
      <c r="E79" s="19">
        <v>2</v>
      </c>
      <c r="F79" s="19"/>
      <c r="G79" s="19">
        <v>460</v>
      </c>
      <c r="H79" s="19">
        <v>9.2</v>
      </c>
      <c r="I79" s="19" t="s">
        <v>484</v>
      </c>
      <c r="J79" s="19" t="s">
        <v>99</v>
      </c>
      <c r="K79" s="19" t="b">
        <v>0</v>
      </c>
      <c r="L79" s="15">
        <v>2013</v>
      </c>
      <c r="M79" s="16">
        <v>0.0586</v>
      </c>
      <c r="N79" s="20">
        <v>41453</v>
      </c>
      <c r="O79" s="20">
        <v>41453</v>
      </c>
    </row>
    <row r="80" spans="1:15" ht="14.25">
      <c r="A80" s="17">
        <v>2013</v>
      </c>
      <c r="B80" s="18" t="s">
        <v>482</v>
      </c>
      <c r="C80" s="18" t="s">
        <v>483</v>
      </c>
      <c r="D80" s="19">
        <v>3021062</v>
      </c>
      <c r="E80" s="19">
        <v>2</v>
      </c>
      <c r="F80" s="19"/>
      <c r="G80" s="19">
        <v>10</v>
      </c>
      <c r="H80" s="19">
        <v>1</v>
      </c>
      <c r="I80" s="19" t="s">
        <v>485</v>
      </c>
      <c r="J80" s="19" t="s">
        <v>26</v>
      </c>
      <c r="K80" s="19" t="b">
        <v>1</v>
      </c>
      <c r="L80" s="15">
        <v>2013</v>
      </c>
      <c r="M80" s="16">
        <v>22025356.34</v>
      </c>
      <c r="N80" s="20">
        <v>41453</v>
      </c>
      <c r="O80" s="20">
        <v>41453</v>
      </c>
    </row>
    <row r="81" spans="1:15" ht="14.25">
      <c r="A81" s="17">
        <v>2013</v>
      </c>
      <c r="B81" s="18" t="s">
        <v>482</v>
      </c>
      <c r="C81" s="18" t="s">
        <v>483</v>
      </c>
      <c r="D81" s="19">
        <v>3021062</v>
      </c>
      <c r="E81" s="19">
        <v>2</v>
      </c>
      <c r="F81" s="19"/>
      <c r="G81" s="19">
        <v>460</v>
      </c>
      <c r="H81" s="19">
        <v>9.2</v>
      </c>
      <c r="I81" s="19" t="s">
        <v>484</v>
      </c>
      <c r="J81" s="19" t="s">
        <v>99</v>
      </c>
      <c r="K81" s="19" t="b">
        <v>0</v>
      </c>
      <c r="L81" s="15">
        <v>2016</v>
      </c>
      <c r="M81" s="16">
        <v>0.06</v>
      </c>
      <c r="N81" s="20">
        <v>41453</v>
      </c>
      <c r="O81" s="20">
        <v>41453</v>
      </c>
    </row>
    <row r="82" spans="1:15" ht="14.25">
      <c r="A82" s="17">
        <v>2013</v>
      </c>
      <c r="B82" s="18" t="s">
        <v>482</v>
      </c>
      <c r="C82" s="18" t="s">
        <v>483</v>
      </c>
      <c r="D82" s="19">
        <v>3021062</v>
      </c>
      <c r="E82" s="19">
        <v>2</v>
      </c>
      <c r="F82" s="19"/>
      <c r="G82" s="19">
        <v>130</v>
      </c>
      <c r="H82" s="19">
        <v>2.1</v>
      </c>
      <c r="I82" s="19"/>
      <c r="J82" s="19" t="s">
        <v>61</v>
      </c>
      <c r="K82" s="19" t="b">
        <v>1</v>
      </c>
      <c r="L82" s="15">
        <v>2021</v>
      </c>
      <c r="M82" s="16">
        <v>20779000</v>
      </c>
      <c r="N82" s="20">
        <v>41453</v>
      </c>
      <c r="O82" s="20">
        <v>41453</v>
      </c>
    </row>
    <row r="83" spans="1:15" ht="14.25">
      <c r="A83" s="17">
        <v>2013</v>
      </c>
      <c r="B83" s="18" t="s">
        <v>482</v>
      </c>
      <c r="C83" s="18" t="s">
        <v>483</v>
      </c>
      <c r="D83" s="19">
        <v>3021062</v>
      </c>
      <c r="E83" s="19">
        <v>2</v>
      </c>
      <c r="F83" s="19"/>
      <c r="G83" s="19">
        <v>510</v>
      </c>
      <c r="H83" s="19">
        <v>9.7</v>
      </c>
      <c r="I83" s="19"/>
      <c r="J83" s="19" t="s">
        <v>499</v>
      </c>
      <c r="K83" s="19" t="b">
        <v>1</v>
      </c>
      <c r="L83" s="15">
        <v>2014</v>
      </c>
      <c r="M83" s="16">
        <v>0.1193</v>
      </c>
      <c r="N83" s="20">
        <v>41453</v>
      </c>
      <c r="O83" s="20">
        <v>41453</v>
      </c>
    </row>
    <row r="84" spans="1:15" ht="14.25">
      <c r="A84" s="17">
        <v>2013</v>
      </c>
      <c r="B84" s="18" t="s">
        <v>482</v>
      </c>
      <c r="C84" s="18" t="s">
        <v>483</v>
      </c>
      <c r="D84" s="19">
        <v>3021062</v>
      </c>
      <c r="E84" s="19">
        <v>2</v>
      </c>
      <c r="F84" s="19"/>
      <c r="G84" s="19">
        <v>500</v>
      </c>
      <c r="H84" s="19">
        <v>9.6</v>
      </c>
      <c r="I84" s="19" t="s">
        <v>498</v>
      </c>
      <c r="J84" s="19" t="s">
        <v>102</v>
      </c>
      <c r="K84" s="19" t="b">
        <v>0</v>
      </c>
      <c r="L84" s="15">
        <v>2016</v>
      </c>
      <c r="M84" s="16">
        <v>0.06</v>
      </c>
      <c r="N84" s="20">
        <v>41453</v>
      </c>
      <c r="O84" s="20">
        <v>41453</v>
      </c>
    </row>
    <row r="85" spans="1:15" ht="14.25">
      <c r="A85" s="17">
        <v>2013</v>
      </c>
      <c r="B85" s="18" t="s">
        <v>482</v>
      </c>
      <c r="C85" s="18" t="s">
        <v>483</v>
      </c>
      <c r="D85" s="19">
        <v>3021062</v>
      </c>
      <c r="E85" s="19">
        <v>2</v>
      </c>
      <c r="F85" s="19"/>
      <c r="G85" s="19">
        <v>190</v>
      </c>
      <c r="H85" s="19">
        <v>2.2</v>
      </c>
      <c r="I85" s="19"/>
      <c r="J85" s="19" t="s">
        <v>72</v>
      </c>
      <c r="K85" s="19" t="b">
        <v>0</v>
      </c>
      <c r="L85" s="15">
        <v>2020</v>
      </c>
      <c r="M85" s="16">
        <v>1818449</v>
      </c>
      <c r="N85" s="20">
        <v>41453</v>
      </c>
      <c r="O85" s="20">
        <v>41453</v>
      </c>
    </row>
    <row r="86" spans="1:15" ht="14.25">
      <c r="A86" s="17">
        <v>2013</v>
      </c>
      <c r="B86" s="18" t="s">
        <v>482</v>
      </c>
      <c r="C86" s="18" t="s">
        <v>483</v>
      </c>
      <c r="D86" s="19">
        <v>3021062</v>
      </c>
      <c r="E86" s="19">
        <v>2</v>
      </c>
      <c r="F86" s="19"/>
      <c r="G86" s="19">
        <v>20</v>
      </c>
      <c r="H86" s="19">
        <v>1.1</v>
      </c>
      <c r="I86" s="19"/>
      <c r="J86" s="19" t="s">
        <v>43</v>
      </c>
      <c r="K86" s="19" t="b">
        <v>1</v>
      </c>
      <c r="L86" s="15">
        <v>2021</v>
      </c>
      <c r="M86" s="16">
        <v>23468000</v>
      </c>
      <c r="N86" s="20">
        <v>41453</v>
      </c>
      <c r="O86" s="20">
        <v>41453</v>
      </c>
    </row>
    <row r="87" spans="1:15" ht="14.25">
      <c r="A87" s="17">
        <v>2013</v>
      </c>
      <c r="B87" s="18" t="s">
        <v>482</v>
      </c>
      <c r="C87" s="18" t="s">
        <v>483</v>
      </c>
      <c r="D87" s="19">
        <v>3021062</v>
      </c>
      <c r="E87" s="19">
        <v>2</v>
      </c>
      <c r="F87" s="19"/>
      <c r="G87" s="19">
        <v>300</v>
      </c>
      <c r="H87" s="19">
        <v>5</v>
      </c>
      <c r="I87" s="19" t="s">
        <v>496</v>
      </c>
      <c r="J87" s="19" t="s">
        <v>83</v>
      </c>
      <c r="K87" s="19" t="b">
        <v>0</v>
      </c>
      <c r="L87" s="15">
        <v>2017</v>
      </c>
      <c r="M87" s="16">
        <v>915135</v>
      </c>
      <c r="N87" s="20">
        <v>41453</v>
      </c>
      <c r="O87" s="20">
        <v>41453</v>
      </c>
    </row>
    <row r="88" spans="1:15" ht="14.25">
      <c r="A88" s="17">
        <v>2013</v>
      </c>
      <c r="B88" s="18" t="s">
        <v>482</v>
      </c>
      <c r="C88" s="18" t="s">
        <v>483</v>
      </c>
      <c r="D88" s="19">
        <v>3021062</v>
      </c>
      <c r="E88" s="19">
        <v>2</v>
      </c>
      <c r="F88" s="19"/>
      <c r="G88" s="19">
        <v>430</v>
      </c>
      <c r="H88" s="19">
        <v>8.2</v>
      </c>
      <c r="I88" s="19" t="s">
        <v>490</v>
      </c>
      <c r="J88" s="19" t="s">
        <v>97</v>
      </c>
      <c r="K88" s="19" t="b">
        <v>0</v>
      </c>
      <c r="L88" s="15">
        <v>2015</v>
      </c>
      <c r="M88" s="16">
        <v>1246025</v>
      </c>
      <c r="N88" s="20">
        <v>41453</v>
      </c>
      <c r="O88" s="20">
        <v>41453</v>
      </c>
    </row>
    <row r="89" spans="1:15" ht="14.25">
      <c r="A89" s="17">
        <v>2013</v>
      </c>
      <c r="B89" s="18" t="s">
        <v>482</v>
      </c>
      <c r="C89" s="18" t="s">
        <v>483</v>
      </c>
      <c r="D89" s="19">
        <v>3021062</v>
      </c>
      <c r="E89" s="19">
        <v>2</v>
      </c>
      <c r="F89" s="19"/>
      <c r="G89" s="19">
        <v>540</v>
      </c>
      <c r="H89" s="19" t="s">
        <v>109</v>
      </c>
      <c r="I89" s="19" t="s">
        <v>502</v>
      </c>
      <c r="J89" s="19" t="s">
        <v>110</v>
      </c>
      <c r="K89" s="19" t="b">
        <v>0</v>
      </c>
      <c r="L89" s="15">
        <v>2024</v>
      </c>
      <c r="M89" s="16">
        <v>1055</v>
      </c>
      <c r="N89" s="20">
        <v>41453</v>
      </c>
      <c r="O89" s="20">
        <v>41453</v>
      </c>
    </row>
    <row r="90" spans="1:15" ht="14.25">
      <c r="A90" s="17">
        <v>2013</v>
      </c>
      <c r="B90" s="18" t="s">
        <v>482</v>
      </c>
      <c r="C90" s="18" t="s">
        <v>483</v>
      </c>
      <c r="D90" s="19">
        <v>3021062</v>
      </c>
      <c r="E90" s="19">
        <v>2</v>
      </c>
      <c r="F90" s="19"/>
      <c r="G90" s="19">
        <v>700</v>
      </c>
      <c r="H90" s="19">
        <v>12.2</v>
      </c>
      <c r="I90" s="19"/>
      <c r="J90" s="19" t="s">
        <v>130</v>
      </c>
      <c r="K90" s="19" t="b">
        <v>0</v>
      </c>
      <c r="L90" s="15">
        <v>2013</v>
      </c>
      <c r="M90" s="16">
        <v>1132274</v>
      </c>
      <c r="N90" s="20">
        <v>41453</v>
      </c>
      <c r="O90" s="20">
        <v>41453</v>
      </c>
    </row>
    <row r="91" spans="1:15" ht="14.25">
      <c r="A91" s="17">
        <v>2013</v>
      </c>
      <c r="B91" s="18" t="s">
        <v>482</v>
      </c>
      <c r="C91" s="18" t="s">
        <v>483</v>
      </c>
      <c r="D91" s="19">
        <v>3021062</v>
      </c>
      <c r="E91" s="19">
        <v>2</v>
      </c>
      <c r="F91" s="19"/>
      <c r="G91" s="19">
        <v>20</v>
      </c>
      <c r="H91" s="19">
        <v>1.1</v>
      </c>
      <c r="I91" s="19"/>
      <c r="J91" s="19" t="s">
        <v>43</v>
      </c>
      <c r="K91" s="19" t="b">
        <v>1</v>
      </c>
      <c r="L91" s="15">
        <v>2013</v>
      </c>
      <c r="M91" s="16">
        <v>19306623.34</v>
      </c>
      <c r="N91" s="20">
        <v>41453</v>
      </c>
      <c r="O91" s="20">
        <v>41453</v>
      </c>
    </row>
    <row r="92" spans="1:15" ht="14.25">
      <c r="A92" s="17">
        <v>2013</v>
      </c>
      <c r="B92" s="18" t="s">
        <v>482</v>
      </c>
      <c r="C92" s="18" t="s">
        <v>483</v>
      </c>
      <c r="D92" s="19">
        <v>3021062</v>
      </c>
      <c r="E92" s="19">
        <v>2</v>
      </c>
      <c r="F92" s="19"/>
      <c r="G92" s="19">
        <v>120</v>
      </c>
      <c r="H92" s="19">
        <v>2</v>
      </c>
      <c r="I92" s="19" t="s">
        <v>492</v>
      </c>
      <c r="J92" s="19" t="s">
        <v>21</v>
      </c>
      <c r="K92" s="19" t="b">
        <v>0</v>
      </c>
      <c r="L92" s="15">
        <v>2023</v>
      </c>
      <c r="M92" s="16">
        <v>23746549</v>
      </c>
      <c r="N92" s="20">
        <v>41453</v>
      </c>
      <c r="O92" s="20">
        <v>41453</v>
      </c>
    </row>
    <row r="93" spans="1:15" ht="14.25">
      <c r="A93" s="17">
        <v>2013</v>
      </c>
      <c r="B93" s="18" t="s">
        <v>482</v>
      </c>
      <c r="C93" s="18" t="s">
        <v>483</v>
      </c>
      <c r="D93" s="19">
        <v>3021062</v>
      </c>
      <c r="E93" s="19">
        <v>2</v>
      </c>
      <c r="F93" s="19"/>
      <c r="G93" s="19">
        <v>300</v>
      </c>
      <c r="H93" s="19">
        <v>5</v>
      </c>
      <c r="I93" s="19" t="s">
        <v>496</v>
      </c>
      <c r="J93" s="19" t="s">
        <v>83</v>
      </c>
      <c r="K93" s="19" t="b">
        <v>0</v>
      </c>
      <c r="L93" s="15">
        <v>2021</v>
      </c>
      <c r="M93" s="16">
        <v>716851</v>
      </c>
      <c r="N93" s="20">
        <v>41453</v>
      </c>
      <c r="O93" s="20">
        <v>41453</v>
      </c>
    </row>
    <row r="94" spans="1:15" ht="14.25">
      <c r="A94" s="17">
        <v>2013</v>
      </c>
      <c r="B94" s="18" t="s">
        <v>482</v>
      </c>
      <c r="C94" s="18" t="s">
        <v>483</v>
      </c>
      <c r="D94" s="19">
        <v>3021062</v>
      </c>
      <c r="E94" s="19">
        <v>2</v>
      </c>
      <c r="F94" s="19"/>
      <c r="G94" s="19">
        <v>480</v>
      </c>
      <c r="H94" s="19">
        <v>9.4</v>
      </c>
      <c r="I94" s="19" t="s">
        <v>484</v>
      </c>
      <c r="J94" s="19" t="s">
        <v>100</v>
      </c>
      <c r="K94" s="19" t="b">
        <v>0</v>
      </c>
      <c r="L94" s="15">
        <v>2020</v>
      </c>
      <c r="M94" s="16">
        <v>0.0324</v>
      </c>
      <c r="N94" s="20">
        <v>41453</v>
      </c>
      <c r="O94" s="20">
        <v>41453</v>
      </c>
    </row>
    <row r="95" spans="1:15" ht="14.25">
      <c r="A95" s="17">
        <v>2013</v>
      </c>
      <c r="B95" s="18" t="s">
        <v>482</v>
      </c>
      <c r="C95" s="18" t="s">
        <v>483</v>
      </c>
      <c r="D95" s="19">
        <v>3021062</v>
      </c>
      <c r="E95" s="19">
        <v>2</v>
      </c>
      <c r="F95" s="19"/>
      <c r="G95" s="19">
        <v>170</v>
      </c>
      <c r="H95" s="19" t="s">
        <v>68</v>
      </c>
      <c r="I95" s="19"/>
      <c r="J95" s="19" t="s">
        <v>69</v>
      </c>
      <c r="K95" s="19" t="b">
        <v>1</v>
      </c>
      <c r="L95" s="15">
        <v>2021</v>
      </c>
      <c r="M95" s="16">
        <v>130000</v>
      </c>
      <c r="N95" s="20">
        <v>41453</v>
      </c>
      <c r="O95" s="20">
        <v>41453</v>
      </c>
    </row>
    <row r="96" spans="1:15" ht="14.25">
      <c r="A96" s="17">
        <v>2013</v>
      </c>
      <c r="B96" s="18" t="s">
        <v>482</v>
      </c>
      <c r="C96" s="18" t="s">
        <v>483</v>
      </c>
      <c r="D96" s="19">
        <v>3021062</v>
      </c>
      <c r="E96" s="19">
        <v>2</v>
      </c>
      <c r="F96" s="19"/>
      <c r="G96" s="19">
        <v>550</v>
      </c>
      <c r="H96" s="19">
        <v>10</v>
      </c>
      <c r="I96" s="19"/>
      <c r="J96" s="19" t="s">
        <v>111</v>
      </c>
      <c r="K96" s="19" t="b">
        <v>0</v>
      </c>
      <c r="L96" s="15">
        <v>2016</v>
      </c>
      <c r="M96" s="16">
        <v>915135</v>
      </c>
      <c r="N96" s="20">
        <v>41453</v>
      </c>
      <c r="O96" s="20">
        <v>41453</v>
      </c>
    </row>
    <row r="97" spans="1:15" ht="14.25">
      <c r="A97" s="17">
        <v>2013</v>
      </c>
      <c r="B97" s="18" t="s">
        <v>482</v>
      </c>
      <c r="C97" s="18" t="s">
        <v>483</v>
      </c>
      <c r="D97" s="19">
        <v>3021062</v>
      </c>
      <c r="E97" s="19">
        <v>2</v>
      </c>
      <c r="F97" s="19"/>
      <c r="G97" s="19">
        <v>10</v>
      </c>
      <c r="H97" s="19">
        <v>1</v>
      </c>
      <c r="I97" s="19" t="s">
        <v>485</v>
      </c>
      <c r="J97" s="19" t="s">
        <v>26</v>
      </c>
      <c r="K97" s="19" t="b">
        <v>1</v>
      </c>
      <c r="L97" s="15">
        <v>2020</v>
      </c>
      <c r="M97" s="16">
        <v>23000000</v>
      </c>
      <c r="N97" s="20">
        <v>41453</v>
      </c>
      <c r="O97" s="20">
        <v>41453</v>
      </c>
    </row>
    <row r="98" spans="1:15" ht="14.25">
      <c r="A98" s="17">
        <v>2013</v>
      </c>
      <c r="B98" s="18" t="s">
        <v>482</v>
      </c>
      <c r="C98" s="18" t="s">
        <v>483</v>
      </c>
      <c r="D98" s="19">
        <v>3021062</v>
      </c>
      <c r="E98" s="19">
        <v>2</v>
      </c>
      <c r="F98" s="19"/>
      <c r="G98" s="19">
        <v>580</v>
      </c>
      <c r="H98" s="19">
        <v>11.1</v>
      </c>
      <c r="I98" s="19"/>
      <c r="J98" s="19" t="s">
        <v>114</v>
      </c>
      <c r="K98" s="19" t="b">
        <v>0</v>
      </c>
      <c r="L98" s="15">
        <v>2014</v>
      </c>
      <c r="M98" s="16">
        <v>7861000</v>
      </c>
      <c r="N98" s="20">
        <v>41453</v>
      </c>
      <c r="O98" s="20">
        <v>41453</v>
      </c>
    </row>
    <row r="99" spans="1:15" ht="14.25">
      <c r="A99" s="17">
        <v>2013</v>
      </c>
      <c r="B99" s="18" t="s">
        <v>482</v>
      </c>
      <c r="C99" s="18" t="s">
        <v>483</v>
      </c>
      <c r="D99" s="19">
        <v>3021062</v>
      </c>
      <c r="E99" s="19">
        <v>2</v>
      </c>
      <c r="F99" s="19"/>
      <c r="G99" s="19">
        <v>30</v>
      </c>
      <c r="H99" s="19" t="s">
        <v>44</v>
      </c>
      <c r="I99" s="19"/>
      <c r="J99" s="19" t="s">
        <v>45</v>
      </c>
      <c r="K99" s="19" t="b">
        <v>1</v>
      </c>
      <c r="L99" s="15">
        <v>2013</v>
      </c>
      <c r="M99" s="16">
        <v>5427668</v>
      </c>
      <c r="N99" s="20">
        <v>41453</v>
      </c>
      <c r="O99" s="20">
        <v>41453</v>
      </c>
    </row>
    <row r="100" spans="1:15" ht="14.25">
      <c r="A100" s="17">
        <v>2013</v>
      </c>
      <c r="B100" s="18" t="s">
        <v>482</v>
      </c>
      <c r="C100" s="18" t="s">
        <v>483</v>
      </c>
      <c r="D100" s="19">
        <v>3021062</v>
      </c>
      <c r="E100" s="19">
        <v>2</v>
      </c>
      <c r="F100" s="19"/>
      <c r="G100" s="19">
        <v>530</v>
      </c>
      <c r="H100" s="19">
        <v>9.8</v>
      </c>
      <c r="I100" s="19" t="s">
        <v>494</v>
      </c>
      <c r="J100" s="19" t="s">
        <v>108</v>
      </c>
      <c r="K100" s="19" t="b">
        <v>0</v>
      </c>
      <c r="L100" s="15">
        <v>2022</v>
      </c>
      <c r="M100" s="16">
        <v>726</v>
      </c>
      <c r="N100" s="20">
        <v>41453</v>
      </c>
      <c r="O100" s="20">
        <v>41453</v>
      </c>
    </row>
    <row r="101" spans="1:15" ht="14.25">
      <c r="A101" s="17">
        <v>2013</v>
      </c>
      <c r="B101" s="18" t="s">
        <v>482</v>
      </c>
      <c r="C101" s="18" t="s">
        <v>483</v>
      </c>
      <c r="D101" s="19">
        <v>3021062</v>
      </c>
      <c r="E101" s="19">
        <v>2</v>
      </c>
      <c r="F101" s="19"/>
      <c r="G101" s="19">
        <v>30</v>
      </c>
      <c r="H101" s="19" t="s">
        <v>44</v>
      </c>
      <c r="I101" s="19"/>
      <c r="J101" s="19" t="s">
        <v>45</v>
      </c>
      <c r="K101" s="19" t="b">
        <v>1</v>
      </c>
      <c r="L101" s="15">
        <v>2015</v>
      </c>
      <c r="M101" s="16">
        <v>6330000</v>
      </c>
      <c r="N101" s="20">
        <v>41453</v>
      </c>
      <c r="O101" s="20">
        <v>41453</v>
      </c>
    </row>
    <row r="102" spans="1:15" ht="14.25">
      <c r="A102" s="17">
        <v>2013</v>
      </c>
      <c r="B102" s="18" t="s">
        <v>482</v>
      </c>
      <c r="C102" s="18" t="s">
        <v>483</v>
      </c>
      <c r="D102" s="19">
        <v>3021062</v>
      </c>
      <c r="E102" s="19">
        <v>2</v>
      </c>
      <c r="F102" s="19"/>
      <c r="G102" s="19">
        <v>60</v>
      </c>
      <c r="H102" s="19" t="s">
        <v>50</v>
      </c>
      <c r="I102" s="19"/>
      <c r="J102" s="19" t="s">
        <v>51</v>
      </c>
      <c r="K102" s="19" t="b">
        <v>1</v>
      </c>
      <c r="L102" s="15">
        <v>2014</v>
      </c>
      <c r="M102" s="16">
        <v>2012000</v>
      </c>
      <c r="N102" s="20">
        <v>41453</v>
      </c>
      <c r="O102" s="20">
        <v>41453</v>
      </c>
    </row>
    <row r="103" spans="1:15" ht="14.25">
      <c r="A103" s="17">
        <v>2013</v>
      </c>
      <c r="B103" s="18" t="s">
        <v>482</v>
      </c>
      <c r="C103" s="18" t="s">
        <v>483</v>
      </c>
      <c r="D103" s="19">
        <v>3021062</v>
      </c>
      <c r="E103" s="19">
        <v>2</v>
      </c>
      <c r="F103" s="19"/>
      <c r="G103" s="19">
        <v>130</v>
      </c>
      <c r="H103" s="19">
        <v>2.1</v>
      </c>
      <c r="I103" s="19"/>
      <c r="J103" s="19" t="s">
        <v>61</v>
      </c>
      <c r="K103" s="19" t="b">
        <v>1</v>
      </c>
      <c r="L103" s="15">
        <v>2018</v>
      </c>
      <c r="M103" s="16">
        <v>19884000</v>
      </c>
      <c r="N103" s="20">
        <v>41453</v>
      </c>
      <c r="O103" s="20">
        <v>41453</v>
      </c>
    </row>
    <row r="104" spans="1:15" ht="14.25">
      <c r="A104" s="17">
        <v>2013</v>
      </c>
      <c r="B104" s="18" t="s">
        <v>482</v>
      </c>
      <c r="C104" s="18" t="s">
        <v>483</v>
      </c>
      <c r="D104" s="19">
        <v>3021062</v>
      </c>
      <c r="E104" s="19">
        <v>2</v>
      </c>
      <c r="F104" s="19"/>
      <c r="G104" s="19">
        <v>550</v>
      </c>
      <c r="H104" s="19">
        <v>10</v>
      </c>
      <c r="I104" s="19"/>
      <c r="J104" s="19" t="s">
        <v>111</v>
      </c>
      <c r="K104" s="19" t="b">
        <v>0</v>
      </c>
      <c r="L104" s="15">
        <v>2014</v>
      </c>
      <c r="M104" s="16">
        <v>35035</v>
      </c>
      <c r="N104" s="20">
        <v>41453</v>
      </c>
      <c r="O104" s="20">
        <v>41453</v>
      </c>
    </row>
    <row r="105" spans="1:15" ht="14.25">
      <c r="A105" s="17">
        <v>2013</v>
      </c>
      <c r="B105" s="18" t="s">
        <v>482</v>
      </c>
      <c r="C105" s="18" t="s">
        <v>483</v>
      </c>
      <c r="D105" s="19">
        <v>3021062</v>
      </c>
      <c r="E105" s="19">
        <v>2</v>
      </c>
      <c r="F105" s="19"/>
      <c r="G105" s="19">
        <v>310</v>
      </c>
      <c r="H105" s="19">
        <v>5.1</v>
      </c>
      <c r="I105" s="19"/>
      <c r="J105" s="19" t="s">
        <v>84</v>
      </c>
      <c r="K105" s="19" t="b">
        <v>1</v>
      </c>
      <c r="L105" s="15">
        <v>2021</v>
      </c>
      <c r="M105" s="16">
        <v>716851</v>
      </c>
      <c r="N105" s="20">
        <v>41453</v>
      </c>
      <c r="O105" s="20">
        <v>41453</v>
      </c>
    </row>
    <row r="106" spans="1:15" ht="14.25">
      <c r="A106" s="17">
        <v>2013</v>
      </c>
      <c r="B106" s="18" t="s">
        <v>482</v>
      </c>
      <c r="C106" s="18" t="s">
        <v>483</v>
      </c>
      <c r="D106" s="19">
        <v>3021062</v>
      </c>
      <c r="E106" s="19">
        <v>2</v>
      </c>
      <c r="F106" s="19"/>
      <c r="G106" s="19">
        <v>530</v>
      </c>
      <c r="H106" s="19">
        <v>9.8</v>
      </c>
      <c r="I106" s="19" t="s">
        <v>494</v>
      </c>
      <c r="J106" s="19" t="s">
        <v>108</v>
      </c>
      <c r="K106" s="19" t="b">
        <v>0</v>
      </c>
      <c r="L106" s="15">
        <v>2013</v>
      </c>
      <c r="M106" s="16">
        <v>756</v>
      </c>
      <c r="N106" s="20">
        <v>41453</v>
      </c>
      <c r="O106" s="20">
        <v>41453</v>
      </c>
    </row>
    <row r="107" spans="1:15" ht="14.25">
      <c r="A107" s="17">
        <v>2013</v>
      </c>
      <c r="B107" s="18" t="s">
        <v>482</v>
      </c>
      <c r="C107" s="18" t="s">
        <v>483</v>
      </c>
      <c r="D107" s="19">
        <v>3021062</v>
      </c>
      <c r="E107" s="19">
        <v>2</v>
      </c>
      <c r="F107" s="19"/>
      <c r="G107" s="19">
        <v>180</v>
      </c>
      <c r="H107" s="19" t="s">
        <v>70</v>
      </c>
      <c r="I107" s="19"/>
      <c r="J107" s="19" t="s">
        <v>71</v>
      </c>
      <c r="K107" s="19" t="b">
        <v>0</v>
      </c>
      <c r="L107" s="15">
        <v>2020</v>
      </c>
      <c r="M107" s="16">
        <v>163000</v>
      </c>
      <c r="N107" s="20">
        <v>41453</v>
      </c>
      <c r="O107" s="20">
        <v>41453</v>
      </c>
    </row>
    <row r="108" spans="1:15" ht="14.25">
      <c r="A108" s="17">
        <v>2013</v>
      </c>
      <c r="B108" s="18" t="s">
        <v>482</v>
      </c>
      <c r="C108" s="18" t="s">
        <v>483</v>
      </c>
      <c r="D108" s="19">
        <v>3021062</v>
      </c>
      <c r="E108" s="19">
        <v>2</v>
      </c>
      <c r="F108" s="19"/>
      <c r="G108" s="19">
        <v>520</v>
      </c>
      <c r="H108" s="19" t="s">
        <v>106</v>
      </c>
      <c r="I108" s="19"/>
      <c r="J108" s="19" t="s">
        <v>493</v>
      </c>
      <c r="K108" s="19" t="b">
        <v>1</v>
      </c>
      <c r="L108" s="15">
        <v>2018</v>
      </c>
      <c r="M108" s="16">
        <v>0.0768</v>
      </c>
      <c r="N108" s="20">
        <v>41453</v>
      </c>
      <c r="O108" s="20">
        <v>41453</v>
      </c>
    </row>
    <row r="109" spans="1:15" ht="14.25">
      <c r="A109" s="17">
        <v>2013</v>
      </c>
      <c r="B109" s="18" t="s">
        <v>482</v>
      </c>
      <c r="C109" s="18" t="s">
        <v>483</v>
      </c>
      <c r="D109" s="19">
        <v>3021062</v>
      </c>
      <c r="E109" s="19">
        <v>2</v>
      </c>
      <c r="F109" s="19"/>
      <c r="G109" s="19">
        <v>130</v>
      </c>
      <c r="H109" s="19">
        <v>2.1</v>
      </c>
      <c r="I109" s="19"/>
      <c r="J109" s="19" t="s">
        <v>61</v>
      </c>
      <c r="K109" s="19" t="b">
        <v>1</v>
      </c>
      <c r="L109" s="15">
        <v>2022</v>
      </c>
      <c r="M109" s="16">
        <v>20954000</v>
      </c>
      <c r="N109" s="20">
        <v>41453</v>
      </c>
      <c r="O109" s="20">
        <v>41453</v>
      </c>
    </row>
    <row r="110" spans="1:15" ht="14.25">
      <c r="A110" s="17">
        <v>2013</v>
      </c>
      <c r="B110" s="18" t="s">
        <v>482</v>
      </c>
      <c r="C110" s="18" t="s">
        <v>483</v>
      </c>
      <c r="D110" s="19">
        <v>3021062</v>
      </c>
      <c r="E110" s="19">
        <v>2</v>
      </c>
      <c r="F110" s="19"/>
      <c r="G110" s="19">
        <v>380</v>
      </c>
      <c r="H110" s="19">
        <v>6.2</v>
      </c>
      <c r="I110" s="19" t="s">
        <v>500</v>
      </c>
      <c r="J110" s="19" t="s">
        <v>93</v>
      </c>
      <c r="K110" s="19" t="b">
        <v>0</v>
      </c>
      <c r="L110" s="15">
        <v>2015</v>
      </c>
      <c r="M110" s="16">
        <v>0.3151</v>
      </c>
      <c r="N110" s="20">
        <v>41453</v>
      </c>
      <c r="O110" s="20">
        <v>41453</v>
      </c>
    </row>
    <row r="111" spans="1:15" ht="14.25">
      <c r="A111" s="17">
        <v>2013</v>
      </c>
      <c r="B111" s="18" t="s">
        <v>482</v>
      </c>
      <c r="C111" s="18" t="s">
        <v>483</v>
      </c>
      <c r="D111" s="19">
        <v>3021062</v>
      </c>
      <c r="E111" s="19">
        <v>2</v>
      </c>
      <c r="F111" s="19"/>
      <c r="G111" s="19">
        <v>500</v>
      </c>
      <c r="H111" s="19">
        <v>9.6</v>
      </c>
      <c r="I111" s="19" t="s">
        <v>498</v>
      </c>
      <c r="J111" s="19" t="s">
        <v>102</v>
      </c>
      <c r="K111" s="19" t="b">
        <v>0</v>
      </c>
      <c r="L111" s="15">
        <v>2015</v>
      </c>
      <c r="M111" s="16">
        <v>0.0574</v>
      </c>
      <c r="N111" s="20">
        <v>41453</v>
      </c>
      <c r="O111" s="20">
        <v>41453</v>
      </c>
    </row>
    <row r="112" spans="1:15" ht="14.25">
      <c r="A112" s="17">
        <v>2013</v>
      </c>
      <c r="B112" s="18" t="s">
        <v>482</v>
      </c>
      <c r="C112" s="18" t="s">
        <v>483</v>
      </c>
      <c r="D112" s="19">
        <v>3021062</v>
      </c>
      <c r="E112" s="19">
        <v>2</v>
      </c>
      <c r="F112" s="19"/>
      <c r="G112" s="19">
        <v>20</v>
      </c>
      <c r="H112" s="19">
        <v>1.1</v>
      </c>
      <c r="I112" s="19"/>
      <c r="J112" s="19" t="s">
        <v>43</v>
      </c>
      <c r="K112" s="19" t="b">
        <v>1</v>
      </c>
      <c r="L112" s="15">
        <v>2016</v>
      </c>
      <c r="M112" s="16">
        <v>20700000</v>
      </c>
      <c r="N112" s="20">
        <v>41453</v>
      </c>
      <c r="O112" s="20">
        <v>41453</v>
      </c>
    </row>
    <row r="113" spans="1:15" ht="14.25">
      <c r="A113" s="17">
        <v>2013</v>
      </c>
      <c r="B113" s="18" t="s">
        <v>482</v>
      </c>
      <c r="C113" s="18" t="s">
        <v>483</v>
      </c>
      <c r="D113" s="19">
        <v>3021062</v>
      </c>
      <c r="E113" s="19">
        <v>2</v>
      </c>
      <c r="F113" s="19"/>
      <c r="G113" s="19">
        <v>20</v>
      </c>
      <c r="H113" s="19">
        <v>1.1</v>
      </c>
      <c r="I113" s="19"/>
      <c r="J113" s="19" t="s">
        <v>43</v>
      </c>
      <c r="K113" s="19" t="b">
        <v>1</v>
      </c>
      <c r="L113" s="15">
        <v>2020</v>
      </c>
      <c r="M113" s="16">
        <v>23000000</v>
      </c>
      <c r="N113" s="20">
        <v>41453</v>
      </c>
      <c r="O113" s="20">
        <v>41453</v>
      </c>
    </row>
    <row r="114" spans="1:15" ht="14.25">
      <c r="A114" s="17">
        <v>2013</v>
      </c>
      <c r="B114" s="18" t="s">
        <v>482</v>
      </c>
      <c r="C114" s="18" t="s">
        <v>483</v>
      </c>
      <c r="D114" s="19">
        <v>3021062</v>
      </c>
      <c r="E114" s="19">
        <v>2</v>
      </c>
      <c r="F114" s="19"/>
      <c r="G114" s="19">
        <v>470</v>
      </c>
      <c r="H114" s="19">
        <v>9.3</v>
      </c>
      <c r="I114" s="19" t="s">
        <v>486</v>
      </c>
      <c r="J114" s="19" t="s">
        <v>495</v>
      </c>
      <c r="K114" s="19" t="b">
        <v>1</v>
      </c>
      <c r="L114" s="15">
        <v>2015</v>
      </c>
      <c r="M114" s="16">
        <v>0.0574</v>
      </c>
      <c r="N114" s="20">
        <v>41453</v>
      </c>
      <c r="O114" s="20">
        <v>41453</v>
      </c>
    </row>
    <row r="115" spans="1:15" ht="14.25">
      <c r="A115" s="17">
        <v>2013</v>
      </c>
      <c r="B115" s="18" t="s">
        <v>482</v>
      </c>
      <c r="C115" s="18" t="s">
        <v>483</v>
      </c>
      <c r="D115" s="19">
        <v>3021062</v>
      </c>
      <c r="E115" s="19">
        <v>2</v>
      </c>
      <c r="F115" s="19"/>
      <c r="G115" s="19">
        <v>640</v>
      </c>
      <c r="H115" s="19">
        <v>11.5</v>
      </c>
      <c r="I115" s="19"/>
      <c r="J115" s="19" t="s">
        <v>122</v>
      </c>
      <c r="K115" s="19" t="b">
        <v>1</v>
      </c>
      <c r="L115" s="15">
        <v>2016</v>
      </c>
      <c r="M115" s="16">
        <v>500000</v>
      </c>
      <c r="N115" s="20">
        <v>41453</v>
      </c>
      <c r="O115" s="20">
        <v>41453</v>
      </c>
    </row>
    <row r="116" spans="1:15" ht="14.25">
      <c r="A116" s="17">
        <v>2013</v>
      </c>
      <c r="B116" s="18" t="s">
        <v>482</v>
      </c>
      <c r="C116" s="18" t="s">
        <v>483</v>
      </c>
      <c r="D116" s="19">
        <v>3021062</v>
      </c>
      <c r="E116" s="19">
        <v>2</v>
      </c>
      <c r="F116" s="19"/>
      <c r="G116" s="19">
        <v>350</v>
      </c>
      <c r="H116" s="19">
        <v>6</v>
      </c>
      <c r="I116" s="19"/>
      <c r="J116" s="19" t="s">
        <v>27</v>
      </c>
      <c r="K116" s="19" t="b">
        <v>1</v>
      </c>
      <c r="L116" s="15">
        <v>2022</v>
      </c>
      <c r="M116" s="16">
        <v>1123801</v>
      </c>
      <c r="N116" s="20">
        <v>41453</v>
      </c>
      <c r="O116" s="20">
        <v>41453</v>
      </c>
    </row>
    <row r="117" spans="1:15" ht="14.25">
      <c r="A117" s="17">
        <v>2013</v>
      </c>
      <c r="B117" s="18" t="s">
        <v>482</v>
      </c>
      <c r="C117" s="18" t="s">
        <v>483</v>
      </c>
      <c r="D117" s="19">
        <v>3021062</v>
      </c>
      <c r="E117" s="19">
        <v>2</v>
      </c>
      <c r="F117" s="19"/>
      <c r="G117" s="19">
        <v>450</v>
      </c>
      <c r="H117" s="19">
        <v>9.1</v>
      </c>
      <c r="I117" s="19" t="s">
        <v>486</v>
      </c>
      <c r="J117" s="19" t="s">
        <v>98</v>
      </c>
      <c r="K117" s="19" t="b">
        <v>1</v>
      </c>
      <c r="L117" s="15">
        <v>2022</v>
      </c>
      <c r="M117" s="16">
        <v>0.0337</v>
      </c>
      <c r="N117" s="20">
        <v>41453</v>
      </c>
      <c r="O117" s="20">
        <v>41453</v>
      </c>
    </row>
    <row r="118" spans="1:15" ht="14.25">
      <c r="A118" s="17">
        <v>2013</v>
      </c>
      <c r="B118" s="18" t="s">
        <v>482</v>
      </c>
      <c r="C118" s="18" t="s">
        <v>483</v>
      </c>
      <c r="D118" s="19">
        <v>3021062</v>
      </c>
      <c r="E118" s="19">
        <v>2</v>
      </c>
      <c r="F118" s="19"/>
      <c r="G118" s="19">
        <v>480</v>
      </c>
      <c r="H118" s="19">
        <v>9.4</v>
      </c>
      <c r="I118" s="19" t="s">
        <v>484</v>
      </c>
      <c r="J118" s="19" t="s">
        <v>100</v>
      </c>
      <c r="K118" s="19" t="b">
        <v>0</v>
      </c>
      <c r="L118" s="15">
        <v>2021</v>
      </c>
      <c r="M118" s="16">
        <v>0.0361</v>
      </c>
      <c r="N118" s="20">
        <v>41453</v>
      </c>
      <c r="O118" s="20">
        <v>41453</v>
      </c>
    </row>
    <row r="119" spans="1:15" ht="14.25">
      <c r="A119" s="17">
        <v>2013</v>
      </c>
      <c r="B119" s="18" t="s">
        <v>482</v>
      </c>
      <c r="C119" s="18" t="s">
        <v>483</v>
      </c>
      <c r="D119" s="19">
        <v>3021062</v>
      </c>
      <c r="E119" s="19">
        <v>2</v>
      </c>
      <c r="F119" s="19"/>
      <c r="G119" s="19">
        <v>540</v>
      </c>
      <c r="H119" s="19" t="s">
        <v>109</v>
      </c>
      <c r="I119" s="19" t="s">
        <v>502</v>
      </c>
      <c r="J119" s="19" t="s">
        <v>110</v>
      </c>
      <c r="K119" s="19" t="b">
        <v>0</v>
      </c>
      <c r="L119" s="15">
        <v>2014</v>
      </c>
      <c r="M119" s="16">
        <v>624</v>
      </c>
      <c r="N119" s="20">
        <v>41453</v>
      </c>
      <c r="O119" s="20">
        <v>41453</v>
      </c>
    </row>
    <row r="120" spans="1:15" ht="14.25">
      <c r="A120" s="17">
        <v>2013</v>
      </c>
      <c r="B120" s="18" t="s">
        <v>482</v>
      </c>
      <c r="C120" s="18" t="s">
        <v>483</v>
      </c>
      <c r="D120" s="19">
        <v>3021062</v>
      </c>
      <c r="E120" s="19">
        <v>2</v>
      </c>
      <c r="F120" s="19"/>
      <c r="G120" s="19">
        <v>505</v>
      </c>
      <c r="H120" s="19" t="s">
        <v>103</v>
      </c>
      <c r="I120" s="19" t="s">
        <v>497</v>
      </c>
      <c r="J120" s="19" t="s">
        <v>104</v>
      </c>
      <c r="K120" s="19" t="b">
        <v>0</v>
      </c>
      <c r="L120" s="15">
        <v>2023</v>
      </c>
      <c r="M120" s="16">
        <v>0.1343</v>
      </c>
      <c r="N120" s="20">
        <v>41453</v>
      </c>
      <c r="O120" s="20">
        <v>41453</v>
      </c>
    </row>
    <row r="121" spans="1:15" ht="14.25">
      <c r="A121" s="17">
        <v>2013</v>
      </c>
      <c r="B121" s="18" t="s">
        <v>482</v>
      </c>
      <c r="C121" s="18" t="s">
        <v>483</v>
      </c>
      <c r="D121" s="19">
        <v>3021062</v>
      </c>
      <c r="E121" s="19">
        <v>2</v>
      </c>
      <c r="F121" s="19"/>
      <c r="G121" s="19">
        <v>880</v>
      </c>
      <c r="H121" s="19">
        <v>14.1</v>
      </c>
      <c r="I121" s="19"/>
      <c r="J121" s="19" t="s">
        <v>154</v>
      </c>
      <c r="K121" s="19" t="b">
        <v>1</v>
      </c>
      <c r="L121" s="15">
        <v>2018</v>
      </c>
      <c r="M121" s="16">
        <v>785515</v>
      </c>
      <c r="N121" s="20">
        <v>41453</v>
      </c>
      <c r="O121" s="20">
        <v>41453</v>
      </c>
    </row>
    <row r="122" spans="1:15" ht="14.25">
      <c r="A122" s="17">
        <v>2013</v>
      </c>
      <c r="B122" s="18" t="s">
        <v>482</v>
      </c>
      <c r="C122" s="18" t="s">
        <v>483</v>
      </c>
      <c r="D122" s="19">
        <v>3021062</v>
      </c>
      <c r="E122" s="19">
        <v>2</v>
      </c>
      <c r="F122" s="19"/>
      <c r="G122" s="19">
        <v>470</v>
      </c>
      <c r="H122" s="19">
        <v>9.3</v>
      </c>
      <c r="I122" s="19" t="s">
        <v>486</v>
      </c>
      <c r="J122" s="19" t="s">
        <v>495</v>
      </c>
      <c r="K122" s="19" t="b">
        <v>1</v>
      </c>
      <c r="L122" s="15">
        <v>2023</v>
      </c>
      <c r="M122" s="16">
        <v>0.0295</v>
      </c>
      <c r="N122" s="20">
        <v>41453</v>
      </c>
      <c r="O122" s="20">
        <v>41453</v>
      </c>
    </row>
    <row r="123" spans="1:15" ht="14.25">
      <c r="A123" s="17">
        <v>2013</v>
      </c>
      <c r="B123" s="18" t="s">
        <v>482</v>
      </c>
      <c r="C123" s="18" t="s">
        <v>483</v>
      </c>
      <c r="D123" s="19">
        <v>3021062</v>
      </c>
      <c r="E123" s="19">
        <v>2</v>
      </c>
      <c r="F123" s="19"/>
      <c r="G123" s="19">
        <v>130</v>
      </c>
      <c r="H123" s="19">
        <v>2.1</v>
      </c>
      <c r="I123" s="19"/>
      <c r="J123" s="19" t="s">
        <v>61</v>
      </c>
      <c r="K123" s="19" t="b">
        <v>1</v>
      </c>
      <c r="L123" s="15">
        <v>2013</v>
      </c>
      <c r="M123" s="16">
        <v>19126038.34</v>
      </c>
      <c r="N123" s="20">
        <v>41453</v>
      </c>
      <c r="O123" s="20">
        <v>41453</v>
      </c>
    </row>
    <row r="124" spans="1:15" ht="14.25">
      <c r="A124" s="17">
        <v>2013</v>
      </c>
      <c r="B124" s="18" t="s">
        <v>482</v>
      </c>
      <c r="C124" s="18" t="s">
        <v>483</v>
      </c>
      <c r="D124" s="19">
        <v>3021062</v>
      </c>
      <c r="E124" s="19">
        <v>2</v>
      </c>
      <c r="F124" s="19"/>
      <c r="G124" s="19">
        <v>450</v>
      </c>
      <c r="H124" s="19">
        <v>9.1</v>
      </c>
      <c r="I124" s="19" t="s">
        <v>486</v>
      </c>
      <c r="J124" s="19" t="s">
        <v>98</v>
      </c>
      <c r="K124" s="19" t="b">
        <v>1</v>
      </c>
      <c r="L124" s="15">
        <v>2015</v>
      </c>
      <c r="M124" s="16">
        <v>0.0574</v>
      </c>
      <c r="N124" s="20">
        <v>41453</v>
      </c>
      <c r="O124" s="20">
        <v>41453</v>
      </c>
    </row>
    <row r="125" spans="1:15" ht="14.25">
      <c r="A125" s="17">
        <v>2013</v>
      </c>
      <c r="B125" s="18" t="s">
        <v>482</v>
      </c>
      <c r="C125" s="18" t="s">
        <v>483</v>
      </c>
      <c r="D125" s="19">
        <v>3021062</v>
      </c>
      <c r="E125" s="19">
        <v>2</v>
      </c>
      <c r="F125" s="19"/>
      <c r="G125" s="19">
        <v>540</v>
      </c>
      <c r="H125" s="19" t="s">
        <v>109</v>
      </c>
      <c r="I125" s="19" t="s">
        <v>502</v>
      </c>
      <c r="J125" s="19" t="s">
        <v>110</v>
      </c>
      <c r="K125" s="19" t="b">
        <v>0</v>
      </c>
      <c r="L125" s="15">
        <v>2021</v>
      </c>
      <c r="M125" s="16">
        <v>627</v>
      </c>
      <c r="N125" s="20">
        <v>41453</v>
      </c>
      <c r="O125" s="20">
        <v>41453</v>
      </c>
    </row>
    <row r="126" spans="1:15" ht="14.25">
      <c r="A126" s="17">
        <v>2013</v>
      </c>
      <c r="B126" s="18" t="s">
        <v>482</v>
      </c>
      <c r="C126" s="18" t="s">
        <v>483</v>
      </c>
      <c r="D126" s="19">
        <v>3021062</v>
      </c>
      <c r="E126" s="19">
        <v>2</v>
      </c>
      <c r="F126" s="19"/>
      <c r="G126" s="19">
        <v>430</v>
      </c>
      <c r="H126" s="19">
        <v>8.2</v>
      </c>
      <c r="I126" s="19" t="s">
        <v>490</v>
      </c>
      <c r="J126" s="19" t="s">
        <v>97</v>
      </c>
      <c r="K126" s="19" t="b">
        <v>0</v>
      </c>
      <c r="L126" s="15">
        <v>2024</v>
      </c>
      <c r="M126" s="16">
        <v>3574000</v>
      </c>
      <c r="N126" s="20">
        <v>41453</v>
      </c>
      <c r="O126" s="20">
        <v>41453</v>
      </c>
    </row>
    <row r="127" spans="1:15" ht="14.25">
      <c r="A127" s="17">
        <v>2013</v>
      </c>
      <c r="B127" s="18" t="s">
        <v>482</v>
      </c>
      <c r="C127" s="18" t="s">
        <v>483</v>
      </c>
      <c r="D127" s="19">
        <v>3021062</v>
      </c>
      <c r="E127" s="19">
        <v>2</v>
      </c>
      <c r="F127" s="19"/>
      <c r="G127" s="19">
        <v>20</v>
      </c>
      <c r="H127" s="19">
        <v>1.1</v>
      </c>
      <c r="I127" s="19"/>
      <c r="J127" s="19" t="s">
        <v>43</v>
      </c>
      <c r="K127" s="19" t="b">
        <v>1</v>
      </c>
      <c r="L127" s="15">
        <v>2023</v>
      </c>
      <c r="M127" s="16">
        <v>24416000</v>
      </c>
      <c r="N127" s="20">
        <v>41453</v>
      </c>
      <c r="O127" s="20">
        <v>41453</v>
      </c>
    </row>
    <row r="128" spans="1:15" ht="14.25">
      <c r="A128" s="17">
        <v>2013</v>
      </c>
      <c r="B128" s="18" t="s">
        <v>482</v>
      </c>
      <c r="C128" s="18" t="s">
        <v>483</v>
      </c>
      <c r="D128" s="19">
        <v>3021062</v>
      </c>
      <c r="E128" s="19">
        <v>2</v>
      </c>
      <c r="F128" s="19"/>
      <c r="G128" s="19">
        <v>520</v>
      </c>
      <c r="H128" s="19" t="s">
        <v>106</v>
      </c>
      <c r="I128" s="19"/>
      <c r="J128" s="19" t="s">
        <v>493</v>
      </c>
      <c r="K128" s="19" t="b">
        <v>1</v>
      </c>
      <c r="L128" s="15">
        <v>2013</v>
      </c>
      <c r="M128" s="16">
        <v>0.1399</v>
      </c>
      <c r="N128" s="20">
        <v>41453</v>
      </c>
      <c r="O128" s="20">
        <v>41453</v>
      </c>
    </row>
    <row r="129" spans="1:15" ht="14.25">
      <c r="A129" s="17">
        <v>2013</v>
      </c>
      <c r="B129" s="18" t="s">
        <v>482</v>
      </c>
      <c r="C129" s="18" t="s">
        <v>483</v>
      </c>
      <c r="D129" s="19">
        <v>3021062</v>
      </c>
      <c r="E129" s="19">
        <v>2</v>
      </c>
      <c r="F129" s="19"/>
      <c r="G129" s="19">
        <v>480</v>
      </c>
      <c r="H129" s="19">
        <v>9.4</v>
      </c>
      <c r="I129" s="19" t="s">
        <v>484</v>
      </c>
      <c r="J129" s="19" t="s">
        <v>100</v>
      </c>
      <c r="K129" s="19" t="b">
        <v>0</v>
      </c>
      <c r="L129" s="15">
        <v>2015</v>
      </c>
      <c r="M129" s="16">
        <v>0.0574</v>
      </c>
      <c r="N129" s="20">
        <v>41453</v>
      </c>
      <c r="O129" s="20">
        <v>41453</v>
      </c>
    </row>
    <row r="130" spans="1:15" ht="14.25">
      <c r="A130" s="17">
        <v>2013</v>
      </c>
      <c r="B130" s="18" t="s">
        <v>482</v>
      </c>
      <c r="C130" s="18" t="s">
        <v>483</v>
      </c>
      <c r="D130" s="19">
        <v>3021062</v>
      </c>
      <c r="E130" s="19">
        <v>2</v>
      </c>
      <c r="F130" s="19"/>
      <c r="G130" s="19">
        <v>470</v>
      </c>
      <c r="H130" s="19">
        <v>9.3</v>
      </c>
      <c r="I130" s="19" t="s">
        <v>486</v>
      </c>
      <c r="J130" s="19" t="s">
        <v>495</v>
      </c>
      <c r="K130" s="19" t="b">
        <v>1</v>
      </c>
      <c r="L130" s="15">
        <v>2017</v>
      </c>
      <c r="M130" s="16">
        <v>0.0563</v>
      </c>
      <c r="N130" s="20">
        <v>41453</v>
      </c>
      <c r="O130" s="20">
        <v>41453</v>
      </c>
    </row>
    <row r="131" spans="1:15" ht="14.25">
      <c r="A131" s="17">
        <v>2013</v>
      </c>
      <c r="B131" s="18" t="s">
        <v>482</v>
      </c>
      <c r="C131" s="18" t="s">
        <v>483</v>
      </c>
      <c r="D131" s="19">
        <v>3021062</v>
      </c>
      <c r="E131" s="19">
        <v>2</v>
      </c>
      <c r="F131" s="19"/>
      <c r="G131" s="19">
        <v>10</v>
      </c>
      <c r="H131" s="19">
        <v>1</v>
      </c>
      <c r="I131" s="19" t="s">
        <v>485</v>
      </c>
      <c r="J131" s="19" t="s">
        <v>26</v>
      </c>
      <c r="K131" s="19" t="b">
        <v>1</v>
      </c>
      <c r="L131" s="15">
        <v>2019</v>
      </c>
      <c r="M131" s="16">
        <v>22500000</v>
      </c>
      <c r="N131" s="20">
        <v>41453</v>
      </c>
      <c r="O131" s="20">
        <v>41453</v>
      </c>
    </row>
    <row r="132" spans="1:15" ht="14.25">
      <c r="A132" s="17">
        <v>2013</v>
      </c>
      <c r="B132" s="18" t="s">
        <v>482</v>
      </c>
      <c r="C132" s="18" t="s">
        <v>483</v>
      </c>
      <c r="D132" s="19">
        <v>3021062</v>
      </c>
      <c r="E132" s="19">
        <v>2</v>
      </c>
      <c r="F132" s="19"/>
      <c r="G132" s="19">
        <v>390</v>
      </c>
      <c r="H132" s="19">
        <v>6.3</v>
      </c>
      <c r="I132" s="19" t="s">
        <v>489</v>
      </c>
      <c r="J132" s="19" t="s">
        <v>94</v>
      </c>
      <c r="K132" s="19" t="b">
        <v>0</v>
      </c>
      <c r="L132" s="15">
        <v>2019</v>
      </c>
      <c r="M132" s="16">
        <v>0.1395</v>
      </c>
      <c r="N132" s="20">
        <v>41453</v>
      </c>
      <c r="O132" s="20">
        <v>41453</v>
      </c>
    </row>
    <row r="133" spans="1:15" ht="14.25">
      <c r="A133" s="17">
        <v>2013</v>
      </c>
      <c r="B133" s="18" t="s">
        <v>482</v>
      </c>
      <c r="C133" s="18" t="s">
        <v>483</v>
      </c>
      <c r="D133" s="19">
        <v>3021062</v>
      </c>
      <c r="E133" s="19">
        <v>2</v>
      </c>
      <c r="F133" s="19"/>
      <c r="G133" s="19">
        <v>390</v>
      </c>
      <c r="H133" s="19">
        <v>6.3</v>
      </c>
      <c r="I133" s="19" t="s">
        <v>489</v>
      </c>
      <c r="J133" s="19" t="s">
        <v>94</v>
      </c>
      <c r="K133" s="19" t="b">
        <v>0</v>
      </c>
      <c r="L133" s="15">
        <v>2018</v>
      </c>
      <c r="M133" s="16">
        <v>0.1787</v>
      </c>
      <c r="N133" s="20">
        <v>41453</v>
      </c>
      <c r="O133" s="20">
        <v>41453</v>
      </c>
    </row>
    <row r="134" spans="1:15" ht="14.25">
      <c r="A134" s="17">
        <v>2013</v>
      </c>
      <c r="B134" s="18" t="s">
        <v>482</v>
      </c>
      <c r="C134" s="18" t="s">
        <v>483</v>
      </c>
      <c r="D134" s="19">
        <v>3021062</v>
      </c>
      <c r="E134" s="19">
        <v>2</v>
      </c>
      <c r="F134" s="19"/>
      <c r="G134" s="19">
        <v>130</v>
      </c>
      <c r="H134" s="19">
        <v>2.1</v>
      </c>
      <c r="I134" s="19"/>
      <c r="J134" s="19" t="s">
        <v>61</v>
      </c>
      <c r="K134" s="19" t="b">
        <v>1</v>
      </c>
      <c r="L134" s="15">
        <v>2016</v>
      </c>
      <c r="M134" s="16">
        <v>19201000</v>
      </c>
      <c r="N134" s="20">
        <v>41453</v>
      </c>
      <c r="O134" s="20">
        <v>41453</v>
      </c>
    </row>
    <row r="135" spans="1:15" ht="14.25">
      <c r="A135" s="17">
        <v>2013</v>
      </c>
      <c r="B135" s="18" t="s">
        <v>482</v>
      </c>
      <c r="C135" s="18" t="s">
        <v>483</v>
      </c>
      <c r="D135" s="19">
        <v>3021062</v>
      </c>
      <c r="E135" s="19">
        <v>2</v>
      </c>
      <c r="F135" s="19"/>
      <c r="G135" s="19">
        <v>130</v>
      </c>
      <c r="H135" s="19">
        <v>2.1</v>
      </c>
      <c r="I135" s="19"/>
      <c r="J135" s="19" t="s">
        <v>61</v>
      </c>
      <c r="K135" s="19" t="b">
        <v>1</v>
      </c>
      <c r="L135" s="15">
        <v>2015</v>
      </c>
      <c r="M135" s="16">
        <v>18853975</v>
      </c>
      <c r="N135" s="20">
        <v>41453</v>
      </c>
      <c r="O135" s="20">
        <v>41453</v>
      </c>
    </row>
    <row r="136" spans="1:15" ht="14.25">
      <c r="A136" s="17">
        <v>2013</v>
      </c>
      <c r="B136" s="18" t="s">
        <v>482</v>
      </c>
      <c r="C136" s="18" t="s">
        <v>483</v>
      </c>
      <c r="D136" s="19">
        <v>3021062</v>
      </c>
      <c r="E136" s="19">
        <v>2</v>
      </c>
      <c r="F136" s="19"/>
      <c r="G136" s="19">
        <v>180</v>
      </c>
      <c r="H136" s="19" t="s">
        <v>70</v>
      </c>
      <c r="I136" s="19"/>
      <c r="J136" s="19" t="s">
        <v>71</v>
      </c>
      <c r="K136" s="19" t="b">
        <v>0</v>
      </c>
      <c r="L136" s="15">
        <v>2024</v>
      </c>
      <c r="M136" s="16">
        <v>18000</v>
      </c>
      <c r="N136" s="20">
        <v>41453</v>
      </c>
      <c r="O136" s="20">
        <v>41453</v>
      </c>
    </row>
    <row r="137" spans="1:15" ht="14.25">
      <c r="A137" s="17">
        <v>2013</v>
      </c>
      <c r="B137" s="18" t="s">
        <v>482</v>
      </c>
      <c r="C137" s="18" t="s">
        <v>483</v>
      </c>
      <c r="D137" s="19">
        <v>3021062</v>
      </c>
      <c r="E137" s="19">
        <v>2</v>
      </c>
      <c r="F137" s="19"/>
      <c r="G137" s="19">
        <v>50</v>
      </c>
      <c r="H137" s="19" t="s">
        <v>48</v>
      </c>
      <c r="I137" s="19"/>
      <c r="J137" s="19" t="s">
        <v>49</v>
      </c>
      <c r="K137" s="19" t="b">
        <v>1</v>
      </c>
      <c r="L137" s="15">
        <v>2015</v>
      </c>
      <c r="M137" s="16">
        <v>4004000</v>
      </c>
      <c r="N137" s="20">
        <v>41453</v>
      </c>
      <c r="O137" s="20">
        <v>41453</v>
      </c>
    </row>
    <row r="138" spans="1:15" ht="14.25">
      <c r="A138" s="17">
        <v>2013</v>
      </c>
      <c r="B138" s="18" t="s">
        <v>482</v>
      </c>
      <c r="C138" s="18" t="s">
        <v>483</v>
      </c>
      <c r="D138" s="19">
        <v>3021062</v>
      </c>
      <c r="E138" s="19">
        <v>2</v>
      </c>
      <c r="F138" s="19"/>
      <c r="G138" s="19">
        <v>380</v>
      </c>
      <c r="H138" s="19">
        <v>6.2</v>
      </c>
      <c r="I138" s="19" t="s">
        <v>500</v>
      </c>
      <c r="J138" s="19" t="s">
        <v>93</v>
      </c>
      <c r="K138" s="19" t="b">
        <v>0</v>
      </c>
      <c r="L138" s="15">
        <v>2013</v>
      </c>
      <c r="M138" s="16">
        <v>0.3187</v>
      </c>
      <c r="N138" s="20">
        <v>41453</v>
      </c>
      <c r="O138" s="20">
        <v>41453</v>
      </c>
    </row>
    <row r="139" spans="1:15" ht="14.25">
      <c r="A139" s="17">
        <v>2013</v>
      </c>
      <c r="B139" s="18" t="s">
        <v>482</v>
      </c>
      <c r="C139" s="18" t="s">
        <v>483</v>
      </c>
      <c r="D139" s="19">
        <v>3021062</v>
      </c>
      <c r="E139" s="19">
        <v>2</v>
      </c>
      <c r="F139" s="19"/>
      <c r="G139" s="19">
        <v>60</v>
      </c>
      <c r="H139" s="19" t="s">
        <v>50</v>
      </c>
      <c r="I139" s="19"/>
      <c r="J139" s="19" t="s">
        <v>51</v>
      </c>
      <c r="K139" s="19" t="b">
        <v>1</v>
      </c>
      <c r="L139" s="15">
        <v>2013</v>
      </c>
      <c r="M139" s="16">
        <v>1954000</v>
      </c>
      <c r="N139" s="20">
        <v>41453</v>
      </c>
      <c r="O139" s="20">
        <v>41453</v>
      </c>
    </row>
    <row r="140" spans="1:15" ht="14.25">
      <c r="A140" s="17">
        <v>2013</v>
      </c>
      <c r="B140" s="18" t="s">
        <v>482</v>
      </c>
      <c r="C140" s="18" t="s">
        <v>483</v>
      </c>
      <c r="D140" s="19">
        <v>3021062</v>
      </c>
      <c r="E140" s="19">
        <v>2</v>
      </c>
      <c r="F140" s="19"/>
      <c r="G140" s="19">
        <v>60</v>
      </c>
      <c r="H140" s="19" t="s">
        <v>50</v>
      </c>
      <c r="I140" s="19"/>
      <c r="J140" s="19" t="s">
        <v>51</v>
      </c>
      <c r="K140" s="19" t="b">
        <v>1</v>
      </c>
      <c r="L140" s="15">
        <v>2016</v>
      </c>
      <c r="M140" s="16">
        <v>2135000</v>
      </c>
      <c r="N140" s="20">
        <v>41453</v>
      </c>
      <c r="O140" s="20">
        <v>41453</v>
      </c>
    </row>
    <row r="141" spans="1:15" ht="14.25">
      <c r="A141" s="17">
        <v>2013</v>
      </c>
      <c r="B141" s="18" t="s">
        <v>482</v>
      </c>
      <c r="C141" s="18" t="s">
        <v>483</v>
      </c>
      <c r="D141" s="19">
        <v>3021062</v>
      </c>
      <c r="E141" s="19">
        <v>2</v>
      </c>
      <c r="F141" s="19"/>
      <c r="G141" s="19">
        <v>505</v>
      </c>
      <c r="H141" s="19" t="s">
        <v>103</v>
      </c>
      <c r="I141" s="19" t="s">
        <v>497</v>
      </c>
      <c r="J141" s="19" t="s">
        <v>104</v>
      </c>
      <c r="K141" s="19" t="b">
        <v>0</v>
      </c>
      <c r="L141" s="15">
        <v>2022</v>
      </c>
      <c r="M141" s="16">
        <v>0.1246</v>
      </c>
      <c r="N141" s="20">
        <v>41453</v>
      </c>
      <c r="O141" s="20">
        <v>41453</v>
      </c>
    </row>
    <row r="142" spans="1:15" ht="14.25">
      <c r="A142" s="17">
        <v>2013</v>
      </c>
      <c r="B142" s="18" t="s">
        <v>482</v>
      </c>
      <c r="C142" s="18" t="s">
        <v>483</v>
      </c>
      <c r="D142" s="19">
        <v>3021062</v>
      </c>
      <c r="E142" s="19">
        <v>2</v>
      </c>
      <c r="F142" s="19"/>
      <c r="G142" s="19">
        <v>540</v>
      </c>
      <c r="H142" s="19" t="s">
        <v>109</v>
      </c>
      <c r="I142" s="19" t="s">
        <v>502</v>
      </c>
      <c r="J142" s="19" t="s">
        <v>110</v>
      </c>
      <c r="K142" s="19" t="b">
        <v>0</v>
      </c>
      <c r="L142" s="15">
        <v>2019</v>
      </c>
      <c r="M142" s="16">
        <v>391</v>
      </c>
      <c r="N142" s="20">
        <v>41453</v>
      </c>
      <c r="O142" s="20">
        <v>41453</v>
      </c>
    </row>
    <row r="143" spans="1:15" ht="14.25">
      <c r="A143" s="17">
        <v>2013</v>
      </c>
      <c r="B143" s="18" t="s">
        <v>482</v>
      </c>
      <c r="C143" s="18" t="s">
        <v>483</v>
      </c>
      <c r="D143" s="19">
        <v>3021062</v>
      </c>
      <c r="E143" s="19">
        <v>2</v>
      </c>
      <c r="F143" s="19"/>
      <c r="G143" s="19">
        <v>450</v>
      </c>
      <c r="H143" s="19">
        <v>9.1</v>
      </c>
      <c r="I143" s="19" t="s">
        <v>486</v>
      </c>
      <c r="J143" s="19" t="s">
        <v>98</v>
      </c>
      <c r="K143" s="19" t="b">
        <v>1</v>
      </c>
      <c r="L143" s="15">
        <v>2017</v>
      </c>
      <c r="M143" s="16">
        <v>0.0563</v>
      </c>
      <c r="N143" s="20">
        <v>41453</v>
      </c>
      <c r="O143" s="20">
        <v>41453</v>
      </c>
    </row>
    <row r="144" spans="1:15" ht="14.25">
      <c r="A144" s="17">
        <v>2013</v>
      </c>
      <c r="B144" s="18" t="s">
        <v>482</v>
      </c>
      <c r="C144" s="18" t="s">
        <v>483</v>
      </c>
      <c r="D144" s="19">
        <v>3021062</v>
      </c>
      <c r="E144" s="19">
        <v>2</v>
      </c>
      <c r="F144" s="19"/>
      <c r="G144" s="19">
        <v>550</v>
      </c>
      <c r="H144" s="19">
        <v>10</v>
      </c>
      <c r="I144" s="19"/>
      <c r="J144" s="19" t="s">
        <v>111</v>
      </c>
      <c r="K144" s="19" t="b">
        <v>0</v>
      </c>
      <c r="L144" s="15">
        <v>2020</v>
      </c>
      <c r="M144" s="16">
        <v>581551</v>
      </c>
      <c r="N144" s="20">
        <v>41453</v>
      </c>
      <c r="O144" s="20">
        <v>41453</v>
      </c>
    </row>
    <row r="145" spans="1:15" ht="14.25">
      <c r="A145" s="17">
        <v>2013</v>
      </c>
      <c r="B145" s="18" t="s">
        <v>482</v>
      </c>
      <c r="C145" s="18" t="s">
        <v>483</v>
      </c>
      <c r="D145" s="19">
        <v>3021062</v>
      </c>
      <c r="E145" s="19">
        <v>2</v>
      </c>
      <c r="F145" s="19"/>
      <c r="G145" s="19">
        <v>190</v>
      </c>
      <c r="H145" s="19">
        <v>2.2</v>
      </c>
      <c r="I145" s="19"/>
      <c r="J145" s="19" t="s">
        <v>72</v>
      </c>
      <c r="K145" s="19" t="b">
        <v>0</v>
      </c>
      <c r="L145" s="15">
        <v>2023</v>
      </c>
      <c r="M145" s="16">
        <v>2610549</v>
      </c>
      <c r="N145" s="20">
        <v>41453</v>
      </c>
      <c r="O145" s="20">
        <v>41453</v>
      </c>
    </row>
    <row r="146" spans="1:15" ht="14.25">
      <c r="A146" s="17">
        <v>2013</v>
      </c>
      <c r="B146" s="18" t="s">
        <v>482</v>
      </c>
      <c r="C146" s="18" t="s">
        <v>483</v>
      </c>
      <c r="D146" s="19">
        <v>3021062</v>
      </c>
      <c r="E146" s="19">
        <v>2</v>
      </c>
      <c r="F146" s="19"/>
      <c r="G146" s="19">
        <v>70</v>
      </c>
      <c r="H146" s="19" t="s">
        <v>52</v>
      </c>
      <c r="I146" s="19"/>
      <c r="J146" s="19" t="s">
        <v>53</v>
      </c>
      <c r="K146" s="19" t="b">
        <v>1</v>
      </c>
      <c r="L146" s="15">
        <v>2013</v>
      </c>
      <c r="M146" s="16">
        <v>7405983</v>
      </c>
      <c r="N146" s="20">
        <v>41453</v>
      </c>
      <c r="O146" s="20">
        <v>41453</v>
      </c>
    </row>
    <row r="147" spans="1:15" ht="14.25">
      <c r="A147" s="17">
        <v>2013</v>
      </c>
      <c r="B147" s="18" t="s">
        <v>482</v>
      </c>
      <c r="C147" s="18" t="s">
        <v>483</v>
      </c>
      <c r="D147" s="19">
        <v>3021062</v>
      </c>
      <c r="E147" s="19">
        <v>2</v>
      </c>
      <c r="F147" s="19"/>
      <c r="G147" s="19">
        <v>450</v>
      </c>
      <c r="H147" s="19">
        <v>9.1</v>
      </c>
      <c r="I147" s="19" t="s">
        <v>486</v>
      </c>
      <c r="J147" s="19" t="s">
        <v>98</v>
      </c>
      <c r="K147" s="19" t="b">
        <v>1</v>
      </c>
      <c r="L147" s="15">
        <v>2024</v>
      </c>
      <c r="M147" s="16">
        <v>0.019</v>
      </c>
      <c r="N147" s="20">
        <v>41453</v>
      </c>
      <c r="O147" s="20">
        <v>41453</v>
      </c>
    </row>
    <row r="148" spans="1:15" ht="14.25">
      <c r="A148" s="17">
        <v>2013</v>
      </c>
      <c r="B148" s="18" t="s">
        <v>482</v>
      </c>
      <c r="C148" s="18" t="s">
        <v>483</v>
      </c>
      <c r="D148" s="19">
        <v>3021062</v>
      </c>
      <c r="E148" s="19">
        <v>2</v>
      </c>
      <c r="F148" s="19"/>
      <c r="G148" s="19">
        <v>620</v>
      </c>
      <c r="H148" s="19" t="s">
        <v>119</v>
      </c>
      <c r="I148" s="19"/>
      <c r="J148" s="19" t="s">
        <v>120</v>
      </c>
      <c r="K148" s="19" t="b">
        <v>1</v>
      </c>
      <c r="L148" s="15">
        <v>2014</v>
      </c>
      <c r="M148" s="16">
        <v>1208010</v>
      </c>
      <c r="N148" s="20">
        <v>41453</v>
      </c>
      <c r="O148" s="20">
        <v>41453</v>
      </c>
    </row>
    <row r="149" spans="1:15" ht="14.25">
      <c r="A149" s="17">
        <v>2013</v>
      </c>
      <c r="B149" s="18" t="s">
        <v>482</v>
      </c>
      <c r="C149" s="18" t="s">
        <v>483</v>
      </c>
      <c r="D149" s="19">
        <v>3021062</v>
      </c>
      <c r="E149" s="19">
        <v>2</v>
      </c>
      <c r="F149" s="19"/>
      <c r="G149" s="19">
        <v>120</v>
      </c>
      <c r="H149" s="19">
        <v>2</v>
      </c>
      <c r="I149" s="19" t="s">
        <v>492</v>
      </c>
      <c r="J149" s="19" t="s">
        <v>21</v>
      </c>
      <c r="K149" s="19" t="b">
        <v>0</v>
      </c>
      <c r="L149" s="15">
        <v>2014</v>
      </c>
      <c r="M149" s="16">
        <v>19815010</v>
      </c>
      <c r="N149" s="20">
        <v>41453</v>
      </c>
      <c r="O149" s="20">
        <v>41453</v>
      </c>
    </row>
    <row r="150" spans="1:15" ht="14.25">
      <c r="A150" s="17">
        <v>2013</v>
      </c>
      <c r="B150" s="18" t="s">
        <v>482</v>
      </c>
      <c r="C150" s="18" t="s">
        <v>483</v>
      </c>
      <c r="D150" s="19">
        <v>3021062</v>
      </c>
      <c r="E150" s="19">
        <v>2</v>
      </c>
      <c r="F150" s="19"/>
      <c r="G150" s="19">
        <v>80</v>
      </c>
      <c r="H150" s="19" t="s">
        <v>54</v>
      </c>
      <c r="I150" s="19"/>
      <c r="J150" s="19" t="s">
        <v>55</v>
      </c>
      <c r="K150" s="19" t="b">
        <v>1</v>
      </c>
      <c r="L150" s="15">
        <v>2015</v>
      </c>
      <c r="M150" s="16">
        <v>1490000</v>
      </c>
      <c r="N150" s="20">
        <v>41453</v>
      </c>
      <c r="O150" s="20">
        <v>41453</v>
      </c>
    </row>
    <row r="151" spans="1:15" ht="14.25">
      <c r="A151" s="17">
        <v>2013</v>
      </c>
      <c r="B151" s="18" t="s">
        <v>482</v>
      </c>
      <c r="C151" s="18" t="s">
        <v>483</v>
      </c>
      <c r="D151" s="19">
        <v>3021062</v>
      </c>
      <c r="E151" s="19">
        <v>2</v>
      </c>
      <c r="F151" s="19"/>
      <c r="G151" s="19">
        <v>130</v>
      </c>
      <c r="H151" s="19">
        <v>2.1</v>
      </c>
      <c r="I151" s="19"/>
      <c r="J151" s="19" t="s">
        <v>61</v>
      </c>
      <c r="K151" s="19" t="b">
        <v>1</v>
      </c>
      <c r="L151" s="15">
        <v>2019</v>
      </c>
      <c r="M151" s="16">
        <v>20247000</v>
      </c>
      <c r="N151" s="20">
        <v>41453</v>
      </c>
      <c r="O151" s="20">
        <v>41453</v>
      </c>
    </row>
    <row r="152" spans="1:15" ht="14.25">
      <c r="A152" s="17">
        <v>2013</v>
      </c>
      <c r="B152" s="18" t="s">
        <v>482</v>
      </c>
      <c r="C152" s="18" t="s">
        <v>483</v>
      </c>
      <c r="D152" s="19">
        <v>3021062</v>
      </c>
      <c r="E152" s="19">
        <v>2</v>
      </c>
      <c r="F152" s="19"/>
      <c r="G152" s="19">
        <v>420</v>
      </c>
      <c r="H152" s="19">
        <v>8.1</v>
      </c>
      <c r="I152" s="19" t="s">
        <v>487</v>
      </c>
      <c r="J152" s="19" t="s">
        <v>96</v>
      </c>
      <c r="K152" s="19" t="b">
        <v>0</v>
      </c>
      <c r="L152" s="15">
        <v>2018</v>
      </c>
      <c r="M152" s="16">
        <v>2016000</v>
      </c>
      <c r="N152" s="20">
        <v>41453</v>
      </c>
      <c r="O152" s="20">
        <v>41453</v>
      </c>
    </row>
    <row r="153" spans="1:15" ht="14.25">
      <c r="A153" s="17">
        <v>2013</v>
      </c>
      <c r="B153" s="18" t="s">
        <v>482</v>
      </c>
      <c r="C153" s="18" t="s">
        <v>483</v>
      </c>
      <c r="D153" s="19">
        <v>3021062</v>
      </c>
      <c r="E153" s="19">
        <v>2</v>
      </c>
      <c r="F153" s="19"/>
      <c r="G153" s="19">
        <v>350</v>
      </c>
      <c r="H153" s="19">
        <v>6</v>
      </c>
      <c r="I153" s="19"/>
      <c r="J153" s="19" t="s">
        <v>27</v>
      </c>
      <c r="K153" s="19" t="b">
        <v>1</v>
      </c>
      <c r="L153" s="15">
        <v>2013</v>
      </c>
      <c r="M153" s="16">
        <v>7019460</v>
      </c>
      <c r="N153" s="20">
        <v>41453</v>
      </c>
      <c r="O153" s="20">
        <v>41453</v>
      </c>
    </row>
    <row r="154" spans="1:15" ht="14.25">
      <c r="A154" s="17">
        <v>2013</v>
      </c>
      <c r="B154" s="18" t="s">
        <v>482</v>
      </c>
      <c r="C154" s="18" t="s">
        <v>483</v>
      </c>
      <c r="D154" s="19">
        <v>3021062</v>
      </c>
      <c r="E154" s="19">
        <v>2</v>
      </c>
      <c r="F154" s="19"/>
      <c r="G154" s="19">
        <v>430</v>
      </c>
      <c r="H154" s="19">
        <v>8.2</v>
      </c>
      <c r="I154" s="19" t="s">
        <v>490</v>
      </c>
      <c r="J154" s="19" t="s">
        <v>97</v>
      </c>
      <c r="K154" s="19" t="b">
        <v>0</v>
      </c>
      <c r="L154" s="15">
        <v>2022</v>
      </c>
      <c r="M154" s="16">
        <v>2983000</v>
      </c>
      <c r="N154" s="20">
        <v>41453</v>
      </c>
      <c r="O154" s="20">
        <v>41453</v>
      </c>
    </row>
    <row r="155" spans="1:15" ht="14.25">
      <c r="A155" s="17">
        <v>2013</v>
      </c>
      <c r="B155" s="18" t="s">
        <v>482</v>
      </c>
      <c r="C155" s="18" t="s">
        <v>483</v>
      </c>
      <c r="D155" s="19">
        <v>3021062</v>
      </c>
      <c r="E155" s="19">
        <v>2</v>
      </c>
      <c r="F155" s="19"/>
      <c r="G155" s="19">
        <v>505</v>
      </c>
      <c r="H155" s="19" t="s">
        <v>103</v>
      </c>
      <c r="I155" s="19" t="s">
        <v>497</v>
      </c>
      <c r="J155" s="19" t="s">
        <v>104</v>
      </c>
      <c r="K155" s="19" t="b">
        <v>0</v>
      </c>
      <c r="L155" s="15">
        <v>2024</v>
      </c>
      <c r="M155" s="16">
        <v>0.1435</v>
      </c>
      <c r="N155" s="20">
        <v>41453</v>
      </c>
      <c r="O155" s="20">
        <v>41453</v>
      </c>
    </row>
    <row r="156" spans="1:15" ht="14.25">
      <c r="A156" s="17">
        <v>2013</v>
      </c>
      <c r="B156" s="18" t="s">
        <v>482</v>
      </c>
      <c r="C156" s="18" t="s">
        <v>483</v>
      </c>
      <c r="D156" s="19">
        <v>3021062</v>
      </c>
      <c r="E156" s="19">
        <v>2</v>
      </c>
      <c r="F156" s="19"/>
      <c r="G156" s="19">
        <v>430</v>
      </c>
      <c r="H156" s="19">
        <v>8.2</v>
      </c>
      <c r="I156" s="19" t="s">
        <v>490</v>
      </c>
      <c r="J156" s="19" t="s">
        <v>97</v>
      </c>
      <c r="K156" s="19" t="b">
        <v>0</v>
      </c>
      <c r="L156" s="15">
        <v>2016</v>
      </c>
      <c r="M156" s="16">
        <v>1499000</v>
      </c>
      <c r="N156" s="20">
        <v>41453</v>
      </c>
      <c r="O156" s="20">
        <v>41453</v>
      </c>
    </row>
    <row r="157" spans="1:15" ht="14.25">
      <c r="A157" s="17">
        <v>2013</v>
      </c>
      <c r="B157" s="18" t="s">
        <v>482</v>
      </c>
      <c r="C157" s="18" t="s">
        <v>483</v>
      </c>
      <c r="D157" s="19">
        <v>3021062</v>
      </c>
      <c r="E157" s="19">
        <v>2</v>
      </c>
      <c r="F157" s="19"/>
      <c r="G157" s="19">
        <v>560</v>
      </c>
      <c r="H157" s="19">
        <v>10.1</v>
      </c>
      <c r="I157" s="19"/>
      <c r="J157" s="19" t="s">
        <v>112</v>
      </c>
      <c r="K157" s="19" t="b">
        <v>0</v>
      </c>
      <c r="L157" s="15">
        <v>2015</v>
      </c>
      <c r="M157" s="16">
        <v>374035</v>
      </c>
      <c r="N157" s="20">
        <v>41453</v>
      </c>
      <c r="O157" s="20">
        <v>41453</v>
      </c>
    </row>
    <row r="158" spans="1:15" ht="14.25">
      <c r="A158" s="17">
        <v>2013</v>
      </c>
      <c r="B158" s="18" t="s">
        <v>482</v>
      </c>
      <c r="C158" s="18" t="s">
        <v>483</v>
      </c>
      <c r="D158" s="19">
        <v>3021062</v>
      </c>
      <c r="E158" s="19">
        <v>2</v>
      </c>
      <c r="F158" s="19"/>
      <c r="G158" s="19">
        <v>530</v>
      </c>
      <c r="H158" s="19">
        <v>9.8</v>
      </c>
      <c r="I158" s="19" t="s">
        <v>494</v>
      </c>
      <c r="J158" s="19" t="s">
        <v>108</v>
      </c>
      <c r="K158" s="19" t="b">
        <v>0</v>
      </c>
      <c r="L158" s="15">
        <v>2017</v>
      </c>
      <c r="M158" s="16">
        <v>137</v>
      </c>
      <c r="N158" s="20">
        <v>41453</v>
      </c>
      <c r="O158" s="20">
        <v>41453</v>
      </c>
    </row>
    <row r="159" spans="1:15" ht="14.25">
      <c r="A159" s="17">
        <v>2013</v>
      </c>
      <c r="B159" s="18" t="s">
        <v>482</v>
      </c>
      <c r="C159" s="18" t="s">
        <v>483</v>
      </c>
      <c r="D159" s="19">
        <v>3021062</v>
      </c>
      <c r="E159" s="19">
        <v>2</v>
      </c>
      <c r="F159" s="19"/>
      <c r="G159" s="19">
        <v>190</v>
      </c>
      <c r="H159" s="19">
        <v>2.2</v>
      </c>
      <c r="I159" s="19"/>
      <c r="J159" s="19" t="s">
        <v>72</v>
      </c>
      <c r="K159" s="19" t="b">
        <v>0</v>
      </c>
      <c r="L159" s="15">
        <v>2021</v>
      </c>
      <c r="M159" s="16">
        <v>1972149</v>
      </c>
      <c r="N159" s="20">
        <v>41453</v>
      </c>
      <c r="O159" s="20">
        <v>41453</v>
      </c>
    </row>
    <row r="160" spans="1:15" ht="14.25">
      <c r="A160" s="17">
        <v>2013</v>
      </c>
      <c r="B160" s="18" t="s">
        <v>482</v>
      </c>
      <c r="C160" s="18" t="s">
        <v>483</v>
      </c>
      <c r="D160" s="19">
        <v>3021062</v>
      </c>
      <c r="E160" s="19">
        <v>2</v>
      </c>
      <c r="F160" s="19"/>
      <c r="G160" s="19">
        <v>500</v>
      </c>
      <c r="H160" s="19">
        <v>9.6</v>
      </c>
      <c r="I160" s="19" t="s">
        <v>498</v>
      </c>
      <c r="J160" s="19" t="s">
        <v>102</v>
      </c>
      <c r="K160" s="19" t="b">
        <v>0</v>
      </c>
      <c r="L160" s="15">
        <v>2014</v>
      </c>
      <c r="M160" s="16">
        <v>0.0626</v>
      </c>
      <c r="N160" s="20">
        <v>41453</v>
      </c>
      <c r="O160" s="20">
        <v>41453</v>
      </c>
    </row>
    <row r="161" spans="1:15" ht="14.25">
      <c r="A161" s="17">
        <v>2013</v>
      </c>
      <c r="B161" s="18" t="s">
        <v>482</v>
      </c>
      <c r="C161" s="18" t="s">
        <v>483</v>
      </c>
      <c r="D161" s="19">
        <v>3021062</v>
      </c>
      <c r="E161" s="19">
        <v>2</v>
      </c>
      <c r="F161" s="19"/>
      <c r="G161" s="19">
        <v>430</v>
      </c>
      <c r="H161" s="19">
        <v>8.2</v>
      </c>
      <c r="I161" s="19" t="s">
        <v>490</v>
      </c>
      <c r="J161" s="19" t="s">
        <v>97</v>
      </c>
      <c r="K161" s="19" t="b">
        <v>0</v>
      </c>
      <c r="L161" s="15">
        <v>2021</v>
      </c>
      <c r="M161" s="16">
        <v>2689000</v>
      </c>
      <c r="N161" s="20">
        <v>41453</v>
      </c>
      <c r="O161" s="20">
        <v>41453</v>
      </c>
    </row>
    <row r="162" spans="1:15" ht="14.25">
      <c r="A162" s="17">
        <v>2013</v>
      </c>
      <c r="B162" s="18" t="s">
        <v>482</v>
      </c>
      <c r="C162" s="18" t="s">
        <v>483</v>
      </c>
      <c r="D162" s="19">
        <v>3021062</v>
      </c>
      <c r="E162" s="19">
        <v>2</v>
      </c>
      <c r="F162" s="19"/>
      <c r="G162" s="19">
        <v>500</v>
      </c>
      <c r="H162" s="19">
        <v>9.6</v>
      </c>
      <c r="I162" s="19" t="s">
        <v>498</v>
      </c>
      <c r="J162" s="19" t="s">
        <v>102</v>
      </c>
      <c r="K162" s="19" t="b">
        <v>0</v>
      </c>
      <c r="L162" s="15">
        <v>2018</v>
      </c>
      <c r="M162" s="16">
        <v>0.0507</v>
      </c>
      <c r="N162" s="20">
        <v>41453</v>
      </c>
      <c r="O162" s="20">
        <v>41453</v>
      </c>
    </row>
    <row r="163" spans="1:15" ht="14.25">
      <c r="A163" s="17">
        <v>2013</v>
      </c>
      <c r="B163" s="18" t="s">
        <v>482</v>
      </c>
      <c r="C163" s="18" t="s">
        <v>483</v>
      </c>
      <c r="D163" s="19">
        <v>3021062</v>
      </c>
      <c r="E163" s="19">
        <v>2</v>
      </c>
      <c r="F163" s="19"/>
      <c r="G163" s="19">
        <v>120</v>
      </c>
      <c r="H163" s="19">
        <v>2</v>
      </c>
      <c r="I163" s="19" t="s">
        <v>492</v>
      </c>
      <c r="J163" s="19" t="s">
        <v>21</v>
      </c>
      <c r="K163" s="19" t="b">
        <v>0</v>
      </c>
      <c r="L163" s="15">
        <v>2017</v>
      </c>
      <c r="M163" s="16">
        <v>20384865</v>
      </c>
      <c r="N163" s="20">
        <v>41453</v>
      </c>
      <c r="O163" s="20">
        <v>41453</v>
      </c>
    </row>
    <row r="164" spans="1:15" ht="14.25">
      <c r="A164" s="17">
        <v>2013</v>
      </c>
      <c r="B164" s="18" t="s">
        <v>482</v>
      </c>
      <c r="C164" s="18" t="s">
        <v>483</v>
      </c>
      <c r="D164" s="19">
        <v>3021062</v>
      </c>
      <c r="E164" s="19">
        <v>2</v>
      </c>
      <c r="F164" s="19"/>
      <c r="G164" s="19">
        <v>550</v>
      </c>
      <c r="H164" s="19">
        <v>10</v>
      </c>
      <c r="I164" s="19"/>
      <c r="J164" s="19" t="s">
        <v>111</v>
      </c>
      <c r="K164" s="19" t="b">
        <v>0</v>
      </c>
      <c r="L164" s="15">
        <v>2018</v>
      </c>
      <c r="M164" s="16">
        <v>865515</v>
      </c>
      <c r="N164" s="20">
        <v>41453</v>
      </c>
      <c r="O164" s="20">
        <v>41453</v>
      </c>
    </row>
    <row r="165" spans="1:15" ht="14.25">
      <c r="A165" s="17">
        <v>2013</v>
      </c>
      <c r="B165" s="18" t="s">
        <v>482</v>
      </c>
      <c r="C165" s="18" t="s">
        <v>483</v>
      </c>
      <c r="D165" s="19">
        <v>3021062</v>
      </c>
      <c r="E165" s="19">
        <v>2</v>
      </c>
      <c r="F165" s="19"/>
      <c r="G165" s="19">
        <v>690</v>
      </c>
      <c r="H165" s="19" t="s">
        <v>128</v>
      </c>
      <c r="I165" s="19"/>
      <c r="J165" s="19" t="s">
        <v>129</v>
      </c>
      <c r="K165" s="19" t="b">
        <v>1</v>
      </c>
      <c r="L165" s="15">
        <v>2013</v>
      </c>
      <c r="M165" s="16">
        <v>188408.32</v>
      </c>
      <c r="N165" s="20">
        <v>41453</v>
      </c>
      <c r="O165" s="20">
        <v>41453</v>
      </c>
    </row>
    <row r="166" spans="1:15" ht="14.25">
      <c r="A166" s="17">
        <v>2013</v>
      </c>
      <c r="B166" s="18" t="s">
        <v>482</v>
      </c>
      <c r="C166" s="18" t="s">
        <v>483</v>
      </c>
      <c r="D166" s="19">
        <v>3021062</v>
      </c>
      <c r="E166" s="19">
        <v>2</v>
      </c>
      <c r="F166" s="19"/>
      <c r="G166" s="19">
        <v>310</v>
      </c>
      <c r="H166" s="19">
        <v>5.1</v>
      </c>
      <c r="I166" s="19"/>
      <c r="J166" s="19" t="s">
        <v>84</v>
      </c>
      <c r="K166" s="19" t="b">
        <v>1</v>
      </c>
      <c r="L166" s="15">
        <v>2018</v>
      </c>
      <c r="M166" s="16">
        <v>865515</v>
      </c>
      <c r="N166" s="20">
        <v>41453</v>
      </c>
      <c r="O166" s="20">
        <v>41453</v>
      </c>
    </row>
    <row r="167" spans="1:15" ht="14.25">
      <c r="A167" s="17">
        <v>2013</v>
      </c>
      <c r="B167" s="18" t="s">
        <v>482</v>
      </c>
      <c r="C167" s="18" t="s">
        <v>483</v>
      </c>
      <c r="D167" s="19">
        <v>3021062</v>
      </c>
      <c r="E167" s="19">
        <v>2</v>
      </c>
      <c r="F167" s="19"/>
      <c r="G167" s="19">
        <v>10</v>
      </c>
      <c r="H167" s="19">
        <v>1</v>
      </c>
      <c r="I167" s="19" t="s">
        <v>485</v>
      </c>
      <c r="J167" s="19" t="s">
        <v>26</v>
      </c>
      <c r="K167" s="19" t="b">
        <v>1</v>
      </c>
      <c r="L167" s="15">
        <v>2023</v>
      </c>
      <c r="M167" s="16">
        <v>24416000</v>
      </c>
      <c r="N167" s="20">
        <v>41453</v>
      </c>
      <c r="O167" s="20">
        <v>41453</v>
      </c>
    </row>
    <row r="168" spans="1:15" ht="14.25">
      <c r="A168" s="17">
        <v>2013</v>
      </c>
      <c r="B168" s="18" t="s">
        <v>482</v>
      </c>
      <c r="C168" s="18" t="s">
        <v>483</v>
      </c>
      <c r="D168" s="19">
        <v>3021062</v>
      </c>
      <c r="E168" s="19">
        <v>2</v>
      </c>
      <c r="F168" s="19"/>
      <c r="G168" s="19">
        <v>130</v>
      </c>
      <c r="H168" s="19">
        <v>2.1</v>
      </c>
      <c r="I168" s="19"/>
      <c r="J168" s="19" t="s">
        <v>61</v>
      </c>
      <c r="K168" s="19" t="b">
        <v>1</v>
      </c>
      <c r="L168" s="15">
        <v>2014</v>
      </c>
      <c r="M168" s="16">
        <v>18607000</v>
      </c>
      <c r="N168" s="20">
        <v>41453</v>
      </c>
      <c r="O168" s="20">
        <v>41453</v>
      </c>
    </row>
    <row r="169" spans="1:15" ht="14.25">
      <c r="A169" s="17">
        <v>2013</v>
      </c>
      <c r="B169" s="18" t="s">
        <v>482</v>
      </c>
      <c r="C169" s="18" t="s">
        <v>483</v>
      </c>
      <c r="D169" s="19">
        <v>3021062</v>
      </c>
      <c r="E169" s="19">
        <v>2</v>
      </c>
      <c r="F169" s="19"/>
      <c r="G169" s="19">
        <v>310</v>
      </c>
      <c r="H169" s="19">
        <v>5.1</v>
      </c>
      <c r="I169" s="19"/>
      <c r="J169" s="19" t="s">
        <v>84</v>
      </c>
      <c r="K169" s="19" t="b">
        <v>1</v>
      </c>
      <c r="L169" s="15">
        <v>2017</v>
      </c>
      <c r="M169" s="16">
        <v>915135</v>
      </c>
      <c r="N169" s="20">
        <v>41453</v>
      </c>
      <c r="O169" s="20">
        <v>41453</v>
      </c>
    </row>
    <row r="170" spans="1:15" ht="14.25">
      <c r="A170" s="17">
        <v>2013</v>
      </c>
      <c r="B170" s="18" t="s">
        <v>482</v>
      </c>
      <c r="C170" s="18" t="s">
        <v>483</v>
      </c>
      <c r="D170" s="19">
        <v>3021062</v>
      </c>
      <c r="E170" s="19">
        <v>2</v>
      </c>
      <c r="F170" s="19"/>
      <c r="G170" s="19">
        <v>540</v>
      </c>
      <c r="H170" s="19" t="s">
        <v>109</v>
      </c>
      <c r="I170" s="19" t="s">
        <v>502</v>
      </c>
      <c r="J170" s="19" t="s">
        <v>110</v>
      </c>
      <c r="K170" s="19" t="b">
        <v>0</v>
      </c>
      <c r="L170" s="15">
        <v>2022</v>
      </c>
      <c r="M170" s="16">
        <v>726</v>
      </c>
      <c r="N170" s="20">
        <v>41453</v>
      </c>
      <c r="O170" s="20">
        <v>41453</v>
      </c>
    </row>
    <row r="171" spans="1:15" ht="14.25">
      <c r="A171" s="17">
        <v>2013</v>
      </c>
      <c r="B171" s="18" t="s">
        <v>482</v>
      </c>
      <c r="C171" s="18" t="s">
        <v>483</v>
      </c>
      <c r="D171" s="19">
        <v>3021062</v>
      </c>
      <c r="E171" s="19">
        <v>2</v>
      </c>
      <c r="F171" s="19"/>
      <c r="G171" s="19">
        <v>100</v>
      </c>
      <c r="H171" s="19" t="s">
        <v>57</v>
      </c>
      <c r="I171" s="19"/>
      <c r="J171" s="19" t="s">
        <v>58</v>
      </c>
      <c r="K171" s="19" t="b">
        <v>1</v>
      </c>
      <c r="L171" s="15">
        <v>2014</v>
      </c>
      <c r="M171" s="16">
        <v>550000</v>
      </c>
      <c r="N171" s="20">
        <v>41453</v>
      </c>
      <c r="O171" s="20">
        <v>41453</v>
      </c>
    </row>
    <row r="172" spans="1:15" ht="14.25">
      <c r="A172" s="17">
        <v>2013</v>
      </c>
      <c r="B172" s="18" t="s">
        <v>482</v>
      </c>
      <c r="C172" s="18" t="s">
        <v>483</v>
      </c>
      <c r="D172" s="19">
        <v>3021062</v>
      </c>
      <c r="E172" s="19">
        <v>2</v>
      </c>
      <c r="F172" s="19"/>
      <c r="G172" s="19">
        <v>460</v>
      </c>
      <c r="H172" s="19">
        <v>9.2</v>
      </c>
      <c r="I172" s="19" t="s">
        <v>484</v>
      </c>
      <c r="J172" s="19" t="s">
        <v>99</v>
      </c>
      <c r="K172" s="19" t="b">
        <v>0</v>
      </c>
      <c r="L172" s="15">
        <v>2021</v>
      </c>
      <c r="M172" s="16">
        <v>0.0361</v>
      </c>
      <c r="N172" s="20">
        <v>41453</v>
      </c>
      <c r="O172" s="20">
        <v>41453</v>
      </c>
    </row>
    <row r="173" spans="1:15" ht="14.25">
      <c r="A173" s="17">
        <v>2013</v>
      </c>
      <c r="B173" s="18" t="s">
        <v>482</v>
      </c>
      <c r="C173" s="18" t="s">
        <v>483</v>
      </c>
      <c r="D173" s="19">
        <v>3021062</v>
      </c>
      <c r="E173" s="19">
        <v>2</v>
      </c>
      <c r="F173" s="19"/>
      <c r="G173" s="19">
        <v>520</v>
      </c>
      <c r="H173" s="19" t="s">
        <v>106</v>
      </c>
      <c r="I173" s="19"/>
      <c r="J173" s="19" t="s">
        <v>493</v>
      </c>
      <c r="K173" s="19" t="b">
        <v>1</v>
      </c>
      <c r="L173" s="15">
        <v>2021</v>
      </c>
      <c r="M173" s="16">
        <v>0.0988</v>
      </c>
      <c r="N173" s="20">
        <v>41453</v>
      </c>
      <c r="O173" s="20">
        <v>41453</v>
      </c>
    </row>
    <row r="174" spans="1:15" ht="14.25">
      <c r="A174" s="17">
        <v>2013</v>
      </c>
      <c r="B174" s="18" t="s">
        <v>482</v>
      </c>
      <c r="C174" s="18" t="s">
        <v>483</v>
      </c>
      <c r="D174" s="19">
        <v>3021062</v>
      </c>
      <c r="E174" s="19">
        <v>2</v>
      </c>
      <c r="F174" s="19"/>
      <c r="G174" s="19">
        <v>180</v>
      </c>
      <c r="H174" s="19" t="s">
        <v>70</v>
      </c>
      <c r="I174" s="19"/>
      <c r="J174" s="19" t="s">
        <v>71</v>
      </c>
      <c r="K174" s="19" t="b">
        <v>0</v>
      </c>
      <c r="L174" s="15">
        <v>2019</v>
      </c>
      <c r="M174" s="16">
        <v>202000</v>
      </c>
      <c r="N174" s="20">
        <v>41453</v>
      </c>
      <c r="O174" s="20">
        <v>41453</v>
      </c>
    </row>
    <row r="175" spans="1:15" ht="14.25">
      <c r="A175" s="17">
        <v>2013</v>
      </c>
      <c r="B175" s="18" t="s">
        <v>482</v>
      </c>
      <c r="C175" s="18" t="s">
        <v>483</v>
      </c>
      <c r="D175" s="19">
        <v>3021062</v>
      </c>
      <c r="E175" s="19">
        <v>2</v>
      </c>
      <c r="F175" s="19"/>
      <c r="G175" s="19">
        <v>560</v>
      </c>
      <c r="H175" s="19">
        <v>10.1</v>
      </c>
      <c r="I175" s="19"/>
      <c r="J175" s="19" t="s">
        <v>112</v>
      </c>
      <c r="K175" s="19" t="b">
        <v>0</v>
      </c>
      <c r="L175" s="15">
        <v>2023</v>
      </c>
      <c r="M175" s="16">
        <v>669451</v>
      </c>
      <c r="N175" s="20">
        <v>41453</v>
      </c>
      <c r="O175" s="20">
        <v>41453</v>
      </c>
    </row>
    <row r="176" spans="1:15" ht="14.25">
      <c r="A176" s="17">
        <v>2013</v>
      </c>
      <c r="B176" s="18" t="s">
        <v>482</v>
      </c>
      <c r="C176" s="18" t="s">
        <v>483</v>
      </c>
      <c r="D176" s="19">
        <v>3021062</v>
      </c>
      <c r="E176" s="19">
        <v>2</v>
      </c>
      <c r="F176" s="19"/>
      <c r="G176" s="19">
        <v>70</v>
      </c>
      <c r="H176" s="19" t="s">
        <v>52</v>
      </c>
      <c r="I176" s="19"/>
      <c r="J176" s="19" t="s">
        <v>53</v>
      </c>
      <c r="K176" s="19" t="b">
        <v>1</v>
      </c>
      <c r="L176" s="15">
        <v>2014</v>
      </c>
      <c r="M176" s="16">
        <v>7620000</v>
      </c>
      <c r="N176" s="20">
        <v>41453</v>
      </c>
      <c r="O176" s="20">
        <v>41453</v>
      </c>
    </row>
    <row r="177" spans="1:15" ht="14.25">
      <c r="A177" s="17">
        <v>2013</v>
      </c>
      <c r="B177" s="18" t="s">
        <v>482</v>
      </c>
      <c r="C177" s="18" t="s">
        <v>483</v>
      </c>
      <c r="D177" s="19">
        <v>3021062</v>
      </c>
      <c r="E177" s="19">
        <v>2</v>
      </c>
      <c r="F177" s="19"/>
      <c r="G177" s="19">
        <v>180</v>
      </c>
      <c r="H177" s="19" t="s">
        <v>70</v>
      </c>
      <c r="I177" s="19"/>
      <c r="J177" s="19" t="s">
        <v>71</v>
      </c>
      <c r="K177" s="19" t="b">
        <v>0</v>
      </c>
      <c r="L177" s="15">
        <v>2016</v>
      </c>
      <c r="M177" s="16">
        <v>326000</v>
      </c>
      <c r="N177" s="20">
        <v>41453</v>
      </c>
      <c r="O177" s="20">
        <v>41453</v>
      </c>
    </row>
    <row r="178" spans="1:15" ht="14.25">
      <c r="A178" s="17">
        <v>2013</v>
      </c>
      <c r="B178" s="18" t="s">
        <v>482</v>
      </c>
      <c r="C178" s="18" t="s">
        <v>483</v>
      </c>
      <c r="D178" s="19">
        <v>3021062</v>
      </c>
      <c r="E178" s="19">
        <v>2</v>
      </c>
      <c r="F178" s="19"/>
      <c r="G178" s="19">
        <v>200</v>
      </c>
      <c r="H178" s="19">
        <v>3</v>
      </c>
      <c r="I178" s="19" t="s">
        <v>488</v>
      </c>
      <c r="J178" s="19" t="s">
        <v>23</v>
      </c>
      <c r="K178" s="19" t="b">
        <v>0</v>
      </c>
      <c r="L178" s="15">
        <v>2024</v>
      </c>
      <c r="M178" s="16">
        <v>454350</v>
      </c>
      <c r="N178" s="20">
        <v>41453</v>
      </c>
      <c r="O178" s="20">
        <v>41453</v>
      </c>
    </row>
    <row r="179" spans="1:15" ht="14.25">
      <c r="A179" s="17">
        <v>2013</v>
      </c>
      <c r="B179" s="18" t="s">
        <v>482</v>
      </c>
      <c r="C179" s="18" t="s">
        <v>483</v>
      </c>
      <c r="D179" s="19">
        <v>3021062</v>
      </c>
      <c r="E179" s="19">
        <v>2</v>
      </c>
      <c r="F179" s="19"/>
      <c r="G179" s="19">
        <v>420</v>
      </c>
      <c r="H179" s="19">
        <v>8.1</v>
      </c>
      <c r="I179" s="19" t="s">
        <v>487</v>
      </c>
      <c r="J179" s="19" t="s">
        <v>96</v>
      </c>
      <c r="K179" s="19" t="b">
        <v>0</v>
      </c>
      <c r="L179" s="15">
        <v>2016</v>
      </c>
      <c r="M179" s="16">
        <v>1499000</v>
      </c>
      <c r="N179" s="20">
        <v>41453</v>
      </c>
      <c r="O179" s="20">
        <v>41453</v>
      </c>
    </row>
    <row r="180" spans="1:15" ht="14.25">
      <c r="A180" s="17">
        <v>2013</v>
      </c>
      <c r="B180" s="18" t="s">
        <v>482</v>
      </c>
      <c r="C180" s="18" t="s">
        <v>483</v>
      </c>
      <c r="D180" s="19">
        <v>3021062</v>
      </c>
      <c r="E180" s="19">
        <v>2</v>
      </c>
      <c r="F180" s="19"/>
      <c r="G180" s="19">
        <v>10</v>
      </c>
      <c r="H180" s="19">
        <v>1</v>
      </c>
      <c r="I180" s="19" t="s">
        <v>485</v>
      </c>
      <c r="J180" s="19" t="s">
        <v>26</v>
      </c>
      <c r="K180" s="19" t="b">
        <v>1</v>
      </c>
      <c r="L180" s="15">
        <v>2021</v>
      </c>
      <c r="M180" s="16">
        <v>23468000</v>
      </c>
      <c r="N180" s="20">
        <v>41453</v>
      </c>
      <c r="O180" s="20">
        <v>41453</v>
      </c>
    </row>
    <row r="181" spans="1:15" ht="14.25">
      <c r="A181" s="17">
        <v>2013</v>
      </c>
      <c r="B181" s="18" t="s">
        <v>482</v>
      </c>
      <c r="C181" s="18" t="s">
        <v>483</v>
      </c>
      <c r="D181" s="19">
        <v>3021062</v>
      </c>
      <c r="E181" s="19">
        <v>2</v>
      </c>
      <c r="F181" s="19"/>
      <c r="G181" s="19">
        <v>350</v>
      </c>
      <c r="H181" s="19">
        <v>6</v>
      </c>
      <c r="I181" s="19"/>
      <c r="J181" s="19" t="s">
        <v>27</v>
      </c>
      <c r="K181" s="19" t="b">
        <v>1</v>
      </c>
      <c r="L181" s="15">
        <v>2019</v>
      </c>
      <c r="M181" s="16">
        <v>3139054</v>
      </c>
      <c r="N181" s="20">
        <v>41453</v>
      </c>
      <c r="O181" s="20">
        <v>41453</v>
      </c>
    </row>
    <row r="182" spans="1:15" ht="14.25">
      <c r="A182" s="17">
        <v>2013</v>
      </c>
      <c r="B182" s="18" t="s">
        <v>482</v>
      </c>
      <c r="C182" s="18" t="s">
        <v>483</v>
      </c>
      <c r="D182" s="19">
        <v>3021062</v>
      </c>
      <c r="E182" s="19">
        <v>2</v>
      </c>
      <c r="F182" s="19"/>
      <c r="G182" s="19">
        <v>520</v>
      </c>
      <c r="H182" s="19" t="s">
        <v>106</v>
      </c>
      <c r="I182" s="19"/>
      <c r="J182" s="19" t="s">
        <v>493</v>
      </c>
      <c r="K182" s="19" t="b">
        <v>1</v>
      </c>
      <c r="L182" s="15">
        <v>2023</v>
      </c>
      <c r="M182" s="16">
        <v>0.1145</v>
      </c>
      <c r="N182" s="20">
        <v>41453</v>
      </c>
      <c r="O182" s="20">
        <v>41453</v>
      </c>
    </row>
    <row r="183" spans="1:15" ht="14.25">
      <c r="A183" s="17">
        <v>2013</v>
      </c>
      <c r="B183" s="18" t="s">
        <v>482</v>
      </c>
      <c r="C183" s="18" t="s">
        <v>483</v>
      </c>
      <c r="D183" s="19">
        <v>3021062</v>
      </c>
      <c r="E183" s="19">
        <v>2</v>
      </c>
      <c r="F183" s="19"/>
      <c r="G183" s="19">
        <v>350</v>
      </c>
      <c r="H183" s="19">
        <v>6</v>
      </c>
      <c r="I183" s="19"/>
      <c r="J183" s="19" t="s">
        <v>27</v>
      </c>
      <c r="K183" s="19" t="b">
        <v>1</v>
      </c>
      <c r="L183" s="15">
        <v>2023</v>
      </c>
      <c r="M183" s="16">
        <v>454350</v>
      </c>
      <c r="N183" s="20">
        <v>41453</v>
      </c>
      <c r="O183" s="20">
        <v>41453</v>
      </c>
    </row>
    <row r="184" spans="1:15" ht="14.25">
      <c r="A184" s="17">
        <v>2013</v>
      </c>
      <c r="B184" s="18" t="s">
        <v>482</v>
      </c>
      <c r="C184" s="18" t="s">
        <v>483</v>
      </c>
      <c r="D184" s="19">
        <v>3021062</v>
      </c>
      <c r="E184" s="19">
        <v>2</v>
      </c>
      <c r="F184" s="19"/>
      <c r="G184" s="19">
        <v>120</v>
      </c>
      <c r="H184" s="19">
        <v>2</v>
      </c>
      <c r="I184" s="19" t="s">
        <v>492</v>
      </c>
      <c r="J184" s="19" t="s">
        <v>21</v>
      </c>
      <c r="K184" s="19" t="b">
        <v>0</v>
      </c>
      <c r="L184" s="15">
        <v>2019</v>
      </c>
      <c r="M184" s="16">
        <v>21724449</v>
      </c>
      <c r="N184" s="20">
        <v>41453</v>
      </c>
      <c r="O184" s="20">
        <v>41453</v>
      </c>
    </row>
    <row r="185" spans="1:15" ht="14.25">
      <c r="A185" s="17">
        <v>2013</v>
      </c>
      <c r="B185" s="18" t="s">
        <v>482</v>
      </c>
      <c r="C185" s="18" t="s">
        <v>483</v>
      </c>
      <c r="D185" s="19">
        <v>3021062</v>
      </c>
      <c r="E185" s="19">
        <v>2</v>
      </c>
      <c r="F185" s="19"/>
      <c r="G185" s="19">
        <v>80</v>
      </c>
      <c r="H185" s="19" t="s">
        <v>54</v>
      </c>
      <c r="I185" s="19"/>
      <c r="J185" s="19" t="s">
        <v>55</v>
      </c>
      <c r="K185" s="19" t="b">
        <v>1</v>
      </c>
      <c r="L185" s="15">
        <v>2014</v>
      </c>
      <c r="M185" s="16">
        <v>1486000</v>
      </c>
      <c r="N185" s="20">
        <v>41453</v>
      </c>
      <c r="O185" s="20">
        <v>41453</v>
      </c>
    </row>
    <row r="186" spans="1:15" ht="14.25">
      <c r="A186" s="17">
        <v>2013</v>
      </c>
      <c r="B186" s="18" t="s">
        <v>482</v>
      </c>
      <c r="C186" s="18" t="s">
        <v>483</v>
      </c>
      <c r="D186" s="19">
        <v>3021062</v>
      </c>
      <c r="E186" s="19">
        <v>2</v>
      </c>
      <c r="F186" s="19"/>
      <c r="G186" s="19">
        <v>260</v>
      </c>
      <c r="H186" s="19">
        <v>4.3</v>
      </c>
      <c r="I186" s="19"/>
      <c r="J186" s="19" t="s">
        <v>79</v>
      </c>
      <c r="K186" s="19" t="b">
        <v>1</v>
      </c>
      <c r="L186" s="15">
        <v>2015</v>
      </c>
      <c r="M186" s="16">
        <v>501100</v>
      </c>
      <c r="N186" s="20">
        <v>41453</v>
      </c>
      <c r="O186" s="20">
        <v>41453</v>
      </c>
    </row>
    <row r="187" spans="1:15" ht="14.25">
      <c r="A187" s="17">
        <v>2013</v>
      </c>
      <c r="B187" s="18" t="s">
        <v>482</v>
      </c>
      <c r="C187" s="18" t="s">
        <v>483</v>
      </c>
      <c r="D187" s="19">
        <v>3021062</v>
      </c>
      <c r="E187" s="19">
        <v>2</v>
      </c>
      <c r="F187" s="19"/>
      <c r="G187" s="19">
        <v>310</v>
      </c>
      <c r="H187" s="19">
        <v>5.1</v>
      </c>
      <c r="I187" s="19"/>
      <c r="J187" s="19" t="s">
        <v>84</v>
      </c>
      <c r="K187" s="19" t="b">
        <v>1</v>
      </c>
      <c r="L187" s="15">
        <v>2014</v>
      </c>
      <c r="M187" s="16">
        <v>835135</v>
      </c>
      <c r="N187" s="20">
        <v>41453</v>
      </c>
      <c r="O187" s="20">
        <v>41453</v>
      </c>
    </row>
    <row r="188" spans="1:15" ht="14.25">
      <c r="A188" s="17">
        <v>2013</v>
      </c>
      <c r="B188" s="18" t="s">
        <v>482</v>
      </c>
      <c r="C188" s="18" t="s">
        <v>483</v>
      </c>
      <c r="D188" s="19">
        <v>3021062</v>
      </c>
      <c r="E188" s="19">
        <v>2</v>
      </c>
      <c r="F188" s="19"/>
      <c r="G188" s="19">
        <v>70</v>
      </c>
      <c r="H188" s="19" t="s">
        <v>52</v>
      </c>
      <c r="I188" s="19"/>
      <c r="J188" s="19" t="s">
        <v>53</v>
      </c>
      <c r="K188" s="19" t="b">
        <v>1</v>
      </c>
      <c r="L188" s="15">
        <v>2015</v>
      </c>
      <c r="M188" s="16">
        <v>7848000</v>
      </c>
      <c r="N188" s="20">
        <v>41453</v>
      </c>
      <c r="O188" s="20">
        <v>41453</v>
      </c>
    </row>
    <row r="189" spans="1:15" ht="14.25">
      <c r="A189" s="17">
        <v>2013</v>
      </c>
      <c r="B189" s="18" t="s">
        <v>482</v>
      </c>
      <c r="C189" s="18" t="s">
        <v>483</v>
      </c>
      <c r="D189" s="19">
        <v>3021062</v>
      </c>
      <c r="E189" s="19">
        <v>2</v>
      </c>
      <c r="F189" s="19"/>
      <c r="G189" s="19">
        <v>560</v>
      </c>
      <c r="H189" s="19">
        <v>10.1</v>
      </c>
      <c r="I189" s="19"/>
      <c r="J189" s="19" t="s">
        <v>112</v>
      </c>
      <c r="K189" s="19" t="b">
        <v>0</v>
      </c>
      <c r="L189" s="15">
        <v>2021</v>
      </c>
      <c r="M189" s="16">
        <v>716851</v>
      </c>
      <c r="N189" s="20">
        <v>41453</v>
      </c>
      <c r="O189" s="20">
        <v>41453</v>
      </c>
    </row>
    <row r="190" spans="1:15" ht="14.25">
      <c r="A190" s="17">
        <v>2013</v>
      </c>
      <c r="B190" s="18" t="s">
        <v>482</v>
      </c>
      <c r="C190" s="18" t="s">
        <v>483</v>
      </c>
      <c r="D190" s="19">
        <v>3021062</v>
      </c>
      <c r="E190" s="19">
        <v>2</v>
      </c>
      <c r="F190" s="19"/>
      <c r="G190" s="19">
        <v>380</v>
      </c>
      <c r="H190" s="19">
        <v>6.2</v>
      </c>
      <c r="I190" s="19" t="s">
        <v>500</v>
      </c>
      <c r="J190" s="19" t="s">
        <v>93</v>
      </c>
      <c r="K190" s="19" t="b">
        <v>0</v>
      </c>
      <c r="L190" s="15">
        <v>2022</v>
      </c>
      <c r="M190" s="16">
        <v>0.0469</v>
      </c>
      <c r="N190" s="20">
        <v>41453</v>
      </c>
      <c r="O190" s="20">
        <v>41453</v>
      </c>
    </row>
    <row r="191" spans="1:15" ht="14.25">
      <c r="A191" s="17">
        <v>2013</v>
      </c>
      <c r="B191" s="18" t="s">
        <v>482</v>
      </c>
      <c r="C191" s="18" t="s">
        <v>483</v>
      </c>
      <c r="D191" s="19">
        <v>3021062</v>
      </c>
      <c r="E191" s="19">
        <v>2</v>
      </c>
      <c r="F191" s="19"/>
      <c r="G191" s="19">
        <v>40</v>
      </c>
      <c r="H191" s="19" t="s">
        <v>46</v>
      </c>
      <c r="I191" s="19"/>
      <c r="J191" s="19" t="s">
        <v>47</v>
      </c>
      <c r="K191" s="19" t="b">
        <v>1</v>
      </c>
      <c r="L191" s="15">
        <v>2013</v>
      </c>
      <c r="M191" s="16">
        <v>74400</v>
      </c>
      <c r="N191" s="20">
        <v>41453</v>
      </c>
      <c r="O191" s="20">
        <v>41453</v>
      </c>
    </row>
    <row r="192" spans="1:15" ht="14.25">
      <c r="A192" s="17">
        <v>2013</v>
      </c>
      <c r="B192" s="18" t="s">
        <v>482</v>
      </c>
      <c r="C192" s="18" t="s">
        <v>483</v>
      </c>
      <c r="D192" s="19">
        <v>3021062</v>
      </c>
      <c r="E192" s="19">
        <v>2</v>
      </c>
      <c r="F192" s="19"/>
      <c r="G192" s="19">
        <v>720</v>
      </c>
      <c r="H192" s="19" t="s">
        <v>133</v>
      </c>
      <c r="I192" s="19"/>
      <c r="J192" s="19" t="s">
        <v>134</v>
      </c>
      <c r="K192" s="19" t="b">
        <v>0</v>
      </c>
      <c r="L192" s="15">
        <v>2013</v>
      </c>
      <c r="M192" s="16">
        <v>1132274</v>
      </c>
      <c r="N192" s="20">
        <v>41453</v>
      </c>
      <c r="O192" s="20">
        <v>41453</v>
      </c>
    </row>
    <row r="193" spans="1:15" ht="14.25">
      <c r="A193" s="17">
        <v>2013</v>
      </c>
      <c r="B193" s="18" t="s">
        <v>482</v>
      </c>
      <c r="C193" s="18" t="s">
        <v>483</v>
      </c>
      <c r="D193" s="19">
        <v>3021062</v>
      </c>
      <c r="E193" s="19">
        <v>2</v>
      </c>
      <c r="F193" s="19"/>
      <c r="G193" s="19">
        <v>450</v>
      </c>
      <c r="H193" s="19">
        <v>9.1</v>
      </c>
      <c r="I193" s="19" t="s">
        <v>486</v>
      </c>
      <c r="J193" s="19" t="s">
        <v>98</v>
      </c>
      <c r="K193" s="19" t="b">
        <v>1</v>
      </c>
      <c r="L193" s="15">
        <v>2018</v>
      </c>
      <c r="M193" s="16">
        <v>0.0507</v>
      </c>
      <c r="N193" s="20">
        <v>41453</v>
      </c>
      <c r="O193" s="20">
        <v>41453</v>
      </c>
    </row>
    <row r="194" spans="1:15" ht="14.25">
      <c r="A194" s="17">
        <v>2013</v>
      </c>
      <c r="B194" s="18" t="s">
        <v>482</v>
      </c>
      <c r="C194" s="18" t="s">
        <v>483</v>
      </c>
      <c r="D194" s="19">
        <v>3021062</v>
      </c>
      <c r="E194" s="19">
        <v>2</v>
      </c>
      <c r="F194" s="19"/>
      <c r="G194" s="19">
        <v>880</v>
      </c>
      <c r="H194" s="19">
        <v>14.1</v>
      </c>
      <c r="I194" s="19"/>
      <c r="J194" s="19" t="s">
        <v>154</v>
      </c>
      <c r="K194" s="19" t="b">
        <v>1</v>
      </c>
      <c r="L194" s="15">
        <v>2022</v>
      </c>
      <c r="M194" s="16">
        <v>501551</v>
      </c>
      <c r="N194" s="20">
        <v>41453</v>
      </c>
      <c r="O194" s="20">
        <v>41453</v>
      </c>
    </row>
    <row r="195" spans="1:15" ht="14.25">
      <c r="A195" s="17">
        <v>2013</v>
      </c>
      <c r="B195" s="18" t="s">
        <v>482</v>
      </c>
      <c r="C195" s="18" t="s">
        <v>483</v>
      </c>
      <c r="D195" s="19">
        <v>3021062</v>
      </c>
      <c r="E195" s="19">
        <v>2</v>
      </c>
      <c r="F195" s="19"/>
      <c r="G195" s="19">
        <v>550</v>
      </c>
      <c r="H195" s="19">
        <v>10</v>
      </c>
      <c r="I195" s="19"/>
      <c r="J195" s="19" t="s">
        <v>111</v>
      </c>
      <c r="K195" s="19" t="b">
        <v>0</v>
      </c>
      <c r="L195" s="15">
        <v>2019</v>
      </c>
      <c r="M195" s="16">
        <v>775551</v>
      </c>
      <c r="N195" s="20">
        <v>41453</v>
      </c>
      <c r="O195" s="20">
        <v>41453</v>
      </c>
    </row>
    <row r="196" spans="1:15" ht="14.25">
      <c r="A196" s="17">
        <v>2013</v>
      </c>
      <c r="B196" s="18" t="s">
        <v>482</v>
      </c>
      <c r="C196" s="18" t="s">
        <v>483</v>
      </c>
      <c r="D196" s="19">
        <v>3021062</v>
      </c>
      <c r="E196" s="19">
        <v>2</v>
      </c>
      <c r="F196" s="19"/>
      <c r="G196" s="19">
        <v>120</v>
      </c>
      <c r="H196" s="19">
        <v>2</v>
      </c>
      <c r="I196" s="19" t="s">
        <v>492</v>
      </c>
      <c r="J196" s="19" t="s">
        <v>21</v>
      </c>
      <c r="K196" s="19" t="b">
        <v>0</v>
      </c>
      <c r="L196" s="15">
        <v>2013</v>
      </c>
      <c r="M196" s="16">
        <v>21687098.34</v>
      </c>
      <c r="N196" s="20">
        <v>41453</v>
      </c>
      <c r="O196" s="20">
        <v>41453</v>
      </c>
    </row>
    <row r="197" spans="1:15" ht="14.25">
      <c r="A197" s="17">
        <v>2013</v>
      </c>
      <c r="B197" s="18" t="s">
        <v>482</v>
      </c>
      <c r="C197" s="18" t="s">
        <v>483</v>
      </c>
      <c r="D197" s="19">
        <v>3021062</v>
      </c>
      <c r="E197" s="19">
        <v>2</v>
      </c>
      <c r="F197" s="19"/>
      <c r="G197" s="19">
        <v>300</v>
      </c>
      <c r="H197" s="19">
        <v>5</v>
      </c>
      <c r="I197" s="19" t="s">
        <v>496</v>
      </c>
      <c r="J197" s="19" t="s">
        <v>83</v>
      </c>
      <c r="K197" s="19" t="b">
        <v>0</v>
      </c>
      <c r="L197" s="15">
        <v>2023</v>
      </c>
      <c r="M197" s="16">
        <v>669451</v>
      </c>
      <c r="N197" s="20">
        <v>41453</v>
      </c>
      <c r="O197" s="20">
        <v>41453</v>
      </c>
    </row>
    <row r="198" spans="1:15" ht="14.25">
      <c r="A198" s="17">
        <v>2013</v>
      </c>
      <c r="B198" s="18" t="s">
        <v>482</v>
      </c>
      <c r="C198" s="18" t="s">
        <v>483</v>
      </c>
      <c r="D198" s="19">
        <v>3021062</v>
      </c>
      <c r="E198" s="19">
        <v>2</v>
      </c>
      <c r="F198" s="19"/>
      <c r="G198" s="19">
        <v>350</v>
      </c>
      <c r="H198" s="19">
        <v>6</v>
      </c>
      <c r="I198" s="19"/>
      <c r="J198" s="19" t="s">
        <v>27</v>
      </c>
      <c r="K198" s="19" t="b">
        <v>1</v>
      </c>
      <c r="L198" s="15">
        <v>2020</v>
      </c>
      <c r="M198" s="16">
        <v>2557503</v>
      </c>
      <c r="N198" s="20">
        <v>41453</v>
      </c>
      <c r="O198" s="20">
        <v>41453</v>
      </c>
    </row>
    <row r="199" spans="1:15" ht="14.25">
      <c r="A199" s="17">
        <v>2013</v>
      </c>
      <c r="B199" s="18" t="s">
        <v>482</v>
      </c>
      <c r="C199" s="18" t="s">
        <v>483</v>
      </c>
      <c r="D199" s="19">
        <v>3021062</v>
      </c>
      <c r="E199" s="19">
        <v>2</v>
      </c>
      <c r="F199" s="19"/>
      <c r="G199" s="19">
        <v>260</v>
      </c>
      <c r="H199" s="19">
        <v>4.3</v>
      </c>
      <c r="I199" s="19"/>
      <c r="J199" s="19" t="s">
        <v>79</v>
      </c>
      <c r="K199" s="19" t="b">
        <v>1</v>
      </c>
      <c r="L199" s="15">
        <v>2014</v>
      </c>
      <c r="M199" s="16">
        <v>800100</v>
      </c>
      <c r="N199" s="20">
        <v>41453</v>
      </c>
      <c r="O199" s="20">
        <v>41453</v>
      </c>
    </row>
    <row r="200" spans="1:15" ht="14.25">
      <c r="A200" s="17">
        <v>2013</v>
      </c>
      <c r="B200" s="18" t="s">
        <v>482</v>
      </c>
      <c r="C200" s="18" t="s">
        <v>483</v>
      </c>
      <c r="D200" s="19">
        <v>3021062</v>
      </c>
      <c r="E200" s="19">
        <v>2</v>
      </c>
      <c r="F200" s="19"/>
      <c r="G200" s="19">
        <v>540</v>
      </c>
      <c r="H200" s="19" t="s">
        <v>109</v>
      </c>
      <c r="I200" s="19" t="s">
        <v>502</v>
      </c>
      <c r="J200" s="19" t="s">
        <v>110</v>
      </c>
      <c r="K200" s="19" t="b">
        <v>0</v>
      </c>
      <c r="L200" s="15">
        <v>2015</v>
      </c>
      <c r="M200" s="16">
        <v>305</v>
      </c>
      <c r="N200" s="20">
        <v>41453</v>
      </c>
      <c r="O200" s="20">
        <v>41453</v>
      </c>
    </row>
    <row r="201" spans="1:15" ht="14.25">
      <c r="A201" s="17">
        <v>2013</v>
      </c>
      <c r="B201" s="18" t="s">
        <v>482</v>
      </c>
      <c r="C201" s="18" t="s">
        <v>483</v>
      </c>
      <c r="D201" s="19">
        <v>3021062</v>
      </c>
      <c r="E201" s="19">
        <v>2</v>
      </c>
      <c r="F201" s="19"/>
      <c r="G201" s="19">
        <v>300</v>
      </c>
      <c r="H201" s="19">
        <v>5</v>
      </c>
      <c r="I201" s="19" t="s">
        <v>496</v>
      </c>
      <c r="J201" s="19" t="s">
        <v>83</v>
      </c>
      <c r="K201" s="19" t="b">
        <v>0</v>
      </c>
      <c r="L201" s="15">
        <v>2014</v>
      </c>
      <c r="M201" s="16">
        <v>835135</v>
      </c>
      <c r="N201" s="20">
        <v>41453</v>
      </c>
      <c r="O201" s="20">
        <v>41453</v>
      </c>
    </row>
    <row r="202" spans="1:15" ht="14.25">
      <c r="A202" s="17">
        <v>2013</v>
      </c>
      <c r="B202" s="18" t="s">
        <v>482</v>
      </c>
      <c r="C202" s="18" t="s">
        <v>483</v>
      </c>
      <c r="D202" s="19">
        <v>3021062</v>
      </c>
      <c r="E202" s="19">
        <v>2</v>
      </c>
      <c r="F202" s="19"/>
      <c r="G202" s="19">
        <v>880</v>
      </c>
      <c r="H202" s="19">
        <v>14.1</v>
      </c>
      <c r="I202" s="19"/>
      <c r="J202" s="19" t="s">
        <v>154</v>
      </c>
      <c r="K202" s="19" t="b">
        <v>1</v>
      </c>
      <c r="L202" s="15">
        <v>2021</v>
      </c>
      <c r="M202" s="16">
        <v>501551</v>
      </c>
      <c r="N202" s="20">
        <v>41453</v>
      </c>
      <c r="O202" s="20">
        <v>41453</v>
      </c>
    </row>
    <row r="203" spans="1:15" ht="14.25">
      <c r="A203" s="17">
        <v>2013</v>
      </c>
      <c r="B203" s="18" t="s">
        <v>482</v>
      </c>
      <c r="C203" s="18" t="s">
        <v>483</v>
      </c>
      <c r="D203" s="19">
        <v>3021062</v>
      </c>
      <c r="E203" s="19">
        <v>2</v>
      </c>
      <c r="F203" s="19"/>
      <c r="G203" s="19">
        <v>380</v>
      </c>
      <c r="H203" s="19">
        <v>6.2</v>
      </c>
      <c r="I203" s="19" t="s">
        <v>500</v>
      </c>
      <c r="J203" s="19" t="s">
        <v>93</v>
      </c>
      <c r="K203" s="19" t="b">
        <v>0</v>
      </c>
      <c r="L203" s="15">
        <v>2014</v>
      </c>
      <c r="M203" s="16">
        <v>0.3519</v>
      </c>
      <c r="N203" s="20">
        <v>41453</v>
      </c>
      <c r="O203" s="20">
        <v>41453</v>
      </c>
    </row>
    <row r="204" spans="1:15" ht="14.25">
      <c r="A204" s="17">
        <v>2013</v>
      </c>
      <c r="B204" s="18" t="s">
        <v>482</v>
      </c>
      <c r="C204" s="18" t="s">
        <v>483</v>
      </c>
      <c r="D204" s="19">
        <v>3021062</v>
      </c>
      <c r="E204" s="19">
        <v>2</v>
      </c>
      <c r="F204" s="19"/>
      <c r="G204" s="19">
        <v>380</v>
      </c>
      <c r="H204" s="19">
        <v>6.2</v>
      </c>
      <c r="I204" s="19" t="s">
        <v>500</v>
      </c>
      <c r="J204" s="19" t="s">
        <v>93</v>
      </c>
      <c r="K204" s="19" t="b">
        <v>0</v>
      </c>
      <c r="L204" s="15">
        <v>2023</v>
      </c>
      <c r="M204" s="16">
        <v>0.0186</v>
      </c>
      <c r="N204" s="20">
        <v>41453</v>
      </c>
      <c r="O204" s="20">
        <v>41453</v>
      </c>
    </row>
    <row r="205" spans="1:15" ht="14.25">
      <c r="A205" s="17">
        <v>2013</v>
      </c>
      <c r="B205" s="18" t="s">
        <v>482</v>
      </c>
      <c r="C205" s="18" t="s">
        <v>483</v>
      </c>
      <c r="D205" s="19">
        <v>3021062</v>
      </c>
      <c r="E205" s="19">
        <v>2</v>
      </c>
      <c r="F205" s="19"/>
      <c r="G205" s="19">
        <v>180</v>
      </c>
      <c r="H205" s="19" t="s">
        <v>70</v>
      </c>
      <c r="I205" s="19"/>
      <c r="J205" s="19" t="s">
        <v>71</v>
      </c>
      <c r="K205" s="19" t="b">
        <v>0</v>
      </c>
      <c r="L205" s="15">
        <v>2022</v>
      </c>
      <c r="M205" s="16">
        <v>90000</v>
      </c>
      <c r="N205" s="20">
        <v>41453</v>
      </c>
      <c r="O205" s="20">
        <v>41453</v>
      </c>
    </row>
    <row r="206" spans="1:15" ht="14.25">
      <c r="A206" s="17">
        <v>2013</v>
      </c>
      <c r="B206" s="18" t="s">
        <v>482</v>
      </c>
      <c r="C206" s="18" t="s">
        <v>483</v>
      </c>
      <c r="D206" s="19">
        <v>3021062</v>
      </c>
      <c r="E206" s="19">
        <v>2</v>
      </c>
      <c r="F206" s="19"/>
      <c r="G206" s="19">
        <v>510</v>
      </c>
      <c r="H206" s="19">
        <v>9.7</v>
      </c>
      <c r="I206" s="19"/>
      <c r="J206" s="19" t="s">
        <v>499</v>
      </c>
      <c r="K206" s="19" t="b">
        <v>1</v>
      </c>
      <c r="L206" s="15">
        <v>2020</v>
      </c>
      <c r="M206" s="16">
        <v>0.0918</v>
      </c>
      <c r="N206" s="20">
        <v>41453</v>
      </c>
      <c r="O206" s="20">
        <v>41453</v>
      </c>
    </row>
    <row r="207" spans="1:15" ht="14.25">
      <c r="A207" s="17">
        <v>2013</v>
      </c>
      <c r="B207" s="18" t="s">
        <v>482</v>
      </c>
      <c r="C207" s="18" t="s">
        <v>483</v>
      </c>
      <c r="D207" s="19">
        <v>3021062</v>
      </c>
      <c r="E207" s="19">
        <v>2</v>
      </c>
      <c r="F207" s="19"/>
      <c r="G207" s="19">
        <v>300</v>
      </c>
      <c r="H207" s="19">
        <v>5</v>
      </c>
      <c r="I207" s="19" t="s">
        <v>496</v>
      </c>
      <c r="J207" s="19" t="s">
        <v>83</v>
      </c>
      <c r="K207" s="19" t="b">
        <v>0</v>
      </c>
      <c r="L207" s="15">
        <v>2018</v>
      </c>
      <c r="M207" s="16">
        <v>865515</v>
      </c>
      <c r="N207" s="20">
        <v>41453</v>
      </c>
      <c r="O207" s="20">
        <v>41453</v>
      </c>
    </row>
    <row r="208" spans="1:15" ht="14.25">
      <c r="A208" s="17">
        <v>2013</v>
      </c>
      <c r="B208" s="18" t="s">
        <v>482</v>
      </c>
      <c r="C208" s="18" t="s">
        <v>483</v>
      </c>
      <c r="D208" s="19">
        <v>3021062</v>
      </c>
      <c r="E208" s="19">
        <v>2</v>
      </c>
      <c r="F208" s="19"/>
      <c r="G208" s="19">
        <v>30</v>
      </c>
      <c r="H208" s="19" t="s">
        <v>44</v>
      </c>
      <c r="I208" s="19"/>
      <c r="J208" s="19" t="s">
        <v>45</v>
      </c>
      <c r="K208" s="19" t="b">
        <v>1</v>
      </c>
      <c r="L208" s="15">
        <v>2016</v>
      </c>
      <c r="M208" s="16">
        <v>5774000</v>
      </c>
      <c r="N208" s="20">
        <v>41453</v>
      </c>
      <c r="O208" s="20">
        <v>41453</v>
      </c>
    </row>
    <row r="209" spans="1:15" ht="14.25">
      <c r="A209" s="17">
        <v>2013</v>
      </c>
      <c r="B209" s="18" t="s">
        <v>482</v>
      </c>
      <c r="C209" s="18" t="s">
        <v>483</v>
      </c>
      <c r="D209" s="19">
        <v>3021062</v>
      </c>
      <c r="E209" s="19">
        <v>2</v>
      </c>
      <c r="F209" s="19"/>
      <c r="G209" s="19">
        <v>80</v>
      </c>
      <c r="H209" s="19" t="s">
        <v>54</v>
      </c>
      <c r="I209" s="19"/>
      <c r="J209" s="19" t="s">
        <v>55</v>
      </c>
      <c r="K209" s="19" t="b">
        <v>1</v>
      </c>
      <c r="L209" s="15">
        <v>2013</v>
      </c>
      <c r="M209" s="16">
        <v>2173770</v>
      </c>
      <c r="N209" s="20">
        <v>41453</v>
      </c>
      <c r="O209" s="20">
        <v>41453</v>
      </c>
    </row>
    <row r="210" spans="1:15" ht="14.25">
      <c r="A210" s="17">
        <v>2013</v>
      </c>
      <c r="B210" s="18" t="s">
        <v>482</v>
      </c>
      <c r="C210" s="18" t="s">
        <v>483</v>
      </c>
      <c r="D210" s="19">
        <v>3021062</v>
      </c>
      <c r="E210" s="19">
        <v>2</v>
      </c>
      <c r="F210" s="19"/>
      <c r="G210" s="19">
        <v>460</v>
      </c>
      <c r="H210" s="19">
        <v>9.2</v>
      </c>
      <c r="I210" s="19" t="s">
        <v>484</v>
      </c>
      <c r="J210" s="19" t="s">
        <v>99</v>
      </c>
      <c r="K210" s="19" t="b">
        <v>0</v>
      </c>
      <c r="L210" s="15">
        <v>2020</v>
      </c>
      <c r="M210" s="16">
        <v>0.0324</v>
      </c>
      <c r="N210" s="20">
        <v>41453</v>
      </c>
      <c r="O210" s="20">
        <v>41453</v>
      </c>
    </row>
    <row r="211" spans="1:15" ht="14.25">
      <c r="A211" s="17">
        <v>2013</v>
      </c>
      <c r="B211" s="18" t="s">
        <v>482</v>
      </c>
      <c r="C211" s="18" t="s">
        <v>483</v>
      </c>
      <c r="D211" s="19">
        <v>3021062</v>
      </c>
      <c r="E211" s="19">
        <v>2</v>
      </c>
      <c r="F211" s="19"/>
      <c r="G211" s="19">
        <v>460</v>
      </c>
      <c r="H211" s="19">
        <v>9.2</v>
      </c>
      <c r="I211" s="19" t="s">
        <v>484</v>
      </c>
      <c r="J211" s="19" t="s">
        <v>99</v>
      </c>
      <c r="K211" s="19" t="b">
        <v>0</v>
      </c>
      <c r="L211" s="15">
        <v>2022</v>
      </c>
      <c r="M211" s="16">
        <v>0.0337</v>
      </c>
      <c r="N211" s="20">
        <v>41453</v>
      </c>
      <c r="O211" s="20">
        <v>41453</v>
      </c>
    </row>
    <row r="212" spans="1:15" ht="14.25">
      <c r="A212" s="17">
        <v>2013</v>
      </c>
      <c r="B212" s="18" t="s">
        <v>482</v>
      </c>
      <c r="C212" s="18" t="s">
        <v>483</v>
      </c>
      <c r="D212" s="19">
        <v>3021062</v>
      </c>
      <c r="E212" s="19">
        <v>2</v>
      </c>
      <c r="F212" s="19"/>
      <c r="G212" s="19">
        <v>650</v>
      </c>
      <c r="H212" s="19">
        <v>11.6</v>
      </c>
      <c r="I212" s="19"/>
      <c r="J212" s="19" t="s">
        <v>123</v>
      </c>
      <c r="K212" s="19" t="b">
        <v>1</v>
      </c>
      <c r="L212" s="15">
        <v>2013</v>
      </c>
      <c r="M212" s="16">
        <v>16000</v>
      </c>
      <c r="N212" s="20">
        <v>41453</v>
      </c>
      <c r="O212" s="20">
        <v>41453</v>
      </c>
    </row>
    <row r="213" spans="1:15" ht="14.25">
      <c r="A213" s="17">
        <v>2013</v>
      </c>
      <c r="B213" s="18" t="s">
        <v>482</v>
      </c>
      <c r="C213" s="18" t="s">
        <v>483</v>
      </c>
      <c r="D213" s="19">
        <v>3021062</v>
      </c>
      <c r="E213" s="19">
        <v>2</v>
      </c>
      <c r="F213" s="19"/>
      <c r="G213" s="19">
        <v>750</v>
      </c>
      <c r="H213" s="19" t="s">
        <v>138</v>
      </c>
      <c r="I213" s="19"/>
      <c r="J213" s="19" t="s">
        <v>139</v>
      </c>
      <c r="K213" s="19" t="b">
        <v>0</v>
      </c>
      <c r="L213" s="15">
        <v>2013</v>
      </c>
      <c r="M213" s="16">
        <v>68381.46</v>
      </c>
      <c r="N213" s="20">
        <v>41453</v>
      </c>
      <c r="O213" s="20">
        <v>41453</v>
      </c>
    </row>
    <row r="214" spans="1:15" ht="14.25">
      <c r="A214" s="17">
        <v>2013</v>
      </c>
      <c r="B214" s="18" t="s">
        <v>482</v>
      </c>
      <c r="C214" s="18" t="s">
        <v>483</v>
      </c>
      <c r="D214" s="19">
        <v>3021062</v>
      </c>
      <c r="E214" s="19">
        <v>2</v>
      </c>
      <c r="F214" s="19"/>
      <c r="G214" s="19">
        <v>740</v>
      </c>
      <c r="H214" s="19" t="s">
        <v>136</v>
      </c>
      <c r="I214" s="19"/>
      <c r="J214" s="19" t="s">
        <v>137</v>
      </c>
      <c r="K214" s="19" t="b">
        <v>0</v>
      </c>
      <c r="L214" s="15">
        <v>2013</v>
      </c>
      <c r="M214" s="16">
        <v>61201.32</v>
      </c>
      <c r="N214" s="20">
        <v>41453</v>
      </c>
      <c r="O214" s="20">
        <v>41453</v>
      </c>
    </row>
    <row r="215" spans="1:15" ht="14.25">
      <c r="A215" s="17">
        <v>2013</v>
      </c>
      <c r="B215" s="18" t="s">
        <v>482</v>
      </c>
      <c r="C215" s="18" t="s">
        <v>483</v>
      </c>
      <c r="D215" s="19">
        <v>3021062</v>
      </c>
      <c r="E215" s="19">
        <v>2</v>
      </c>
      <c r="F215" s="19"/>
      <c r="G215" s="19">
        <v>510</v>
      </c>
      <c r="H215" s="19">
        <v>9.7</v>
      </c>
      <c r="I215" s="19"/>
      <c r="J215" s="19" t="s">
        <v>499</v>
      </c>
      <c r="K215" s="19" t="b">
        <v>1</v>
      </c>
      <c r="L215" s="15">
        <v>2019</v>
      </c>
      <c r="M215" s="16">
        <v>0.0825</v>
      </c>
      <c r="N215" s="20">
        <v>41453</v>
      </c>
      <c r="O215" s="20">
        <v>41453</v>
      </c>
    </row>
    <row r="216" spans="1:15" ht="14.25">
      <c r="A216" s="17">
        <v>2013</v>
      </c>
      <c r="B216" s="18" t="s">
        <v>482</v>
      </c>
      <c r="C216" s="18" t="s">
        <v>483</v>
      </c>
      <c r="D216" s="19">
        <v>3021062</v>
      </c>
      <c r="E216" s="19">
        <v>2</v>
      </c>
      <c r="F216" s="19"/>
      <c r="G216" s="19">
        <v>420</v>
      </c>
      <c r="H216" s="19">
        <v>8.1</v>
      </c>
      <c r="I216" s="19" t="s">
        <v>487</v>
      </c>
      <c r="J216" s="19" t="s">
        <v>96</v>
      </c>
      <c r="K216" s="19" t="b">
        <v>0</v>
      </c>
      <c r="L216" s="15">
        <v>2023</v>
      </c>
      <c r="M216" s="16">
        <v>3280000</v>
      </c>
      <c r="N216" s="20">
        <v>41453</v>
      </c>
      <c r="O216" s="20">
        <v>41453</v>
      </c>
    </row>
    <row r="217" spans="1:15" ht="14.25">
      <c r="A217" s="17">
        <v>2013</v>
      </c>
      <c r="B217" s="18" t="s">
        <v>482</v>
      </c>
      <c r="C217" s="18" t="s">
        <v>483</v>
      </c>
      <c r="D217" s="19">
        <v>3021062</v>
      </c>
      <c r="E217" s="19">
        <v>2</v>
      </c>
      <c r="F217" s="19"/>
      <c r="G217" s="19">
        <v>480</v>
      </c>
      <c r="H217" s="19">
        <v>9.4</v>
      </c>
      <c r="I217" s="19" t="s">
        <v>484</v>
      </c>
      <c r="J217" s="19" t="s">
        <v>100</v>
      </c>
      <c r="K217" s="19" t="b">
        <v>0</v>
      </c>
      <c r="L217" s="15">
        <v>2022</v>
      </c>
      <c r="M217" s="16">
        <v>0.0337</v>
      </c>
      <c r="N217" s="20">
        <v>41453</v>
      </c>
      <c r="O217" s="20">
        <v>41453</v>
      </c>
    </row>
    <row r="218" spans="1:15" ht="14.25">
      <c r="A218" s="17">
        <v>2013</v>
      </c>
      <c r="B218" s="18" t="s">
        <v>482</v>
      </c>
      <c r="C218" s="18" t="s">
        <v>483</v>
      </c>
      <c r="D218" s="19">
        <v>3021062</v>
      </c>
      <c r="E218" s="19">
        <v>2</v>
      </c>
      <c r="F218" s="19"/>
      <c r="G218" s="19">
        <v>500</v>
      </c>
      <c r="H218" s="19">
        <v>9.6</v>
      </c>
      <c r="I218" s="19" t="s">
        <v>498</v>
      </c>
      <c r="J218" s="19" t="s">
        <v>102</v>
      </c>
      <c r="K218" s="19" t="b">
        <v>0</v>
      </c>
      <c r="L218" s="15">
        <v>2022</v>
      </c>
      <c r="M218" s="16">
        <v>0.0337</v>
      </c>
      <c r="N218" s="20">
        <v>41453</v>
      </c>
      <c r="O218" s="20">
        <v>41453</v>
      </c>
    </row>
    <row r="219" spans="1:15" ht="14.25">
      <c r="A219" s="17">
        <v>2013</v>
      </c>
      <c r="B219" s="18" t="s">
        <v>482</v>
      </c>
      <c r="C219" s="18" t="s">
        <v>483</v>
      </c>
      <c r="D219" s="19">
        <v>3021062</v>
      </c>
      <c r="E219" s="19">
        <v>2</v>
      </c>
      <c r="F219" s="19"/>
      <c r="G219" s="19">
        <v>880</v>
      </c>
      <c r="H219" s="19">
        <v>14.1</v>
      </c>
      <c r="I219" s="19"/>
      <c r="J219" s="19" t="s">
        <v>154</v>
      </c>
      <c r="K219" s="19" t="b">
        <v>1</v>
      </c>
      <c r="L219" s="15">
        <v>2023</v>
      </c>
      <c r="M219" s="16">
        <v>454151</v>
      </c>
      <c r="N219" s="20">
        <v>41453</v>
      </c>
      <c r="O219" s="20">
        <v>41453</v>
      </c>
    </row>
    <row r="220" spans="1:15" ht="14.25">
      <c r="A220" s="17">
        <v>2013</v>
      </c>
      <c r="B220" s="18" t="s">
        <v>482</v>
      </c>
      <c r="C220" s="18" t="s">
        <v>483</v>
      </c>
      <c r="D220" s="19">
        <v>3021062</v>
      </c>
      <c r="E220" s="19">
        <v>2</v>
      </c>
      <c r="F220" s="19"/>
      <c r="G220" s="19">
        <v>530</v>
      </c>
      <c r="H220" s="19">
        <v>9.8</v>
      </c>
      <c r="I220" s="19" t="s">
        <v>494</v>
      </c>
      <c r="J220" s="19" t="s">
        <v>108</v>
      </c>
      <c r="K220" s="19" t="b">
        <v>0</v>
      </c>
      <c r="L220" s="15">
        <v>2021</v>
      </c>
      <c r="M220" s="16">
        <v>627</v>
      </c>
      <c r="N220" s="20">
        <v>41453</v>
      </c>
      <c r="O220" s="20">
        <v>41453</v>
      </c>
    </row>
    <row r="221" spans="1:15" ht="14.25">
      <c r="A221" s="17">
        <v>2013</v>
      </c>
      <c r="B221" s="18" t="s">
        <v>482</v>
      </c>
      <c r="C221" s="18" t="s">
        <v>483</v>
      </c>
      <c r="D221" s="19">
        <v>3021062</v>
      </c>
      <c r="E221" s="19">
        <v>2</v>
      </c>
      <c r="F221" s="19"/>
      <c r="G221" s="19">
        <v>510</v>
      </c>
      <c r="H221" s="19">
        <v>9.7</v>
      </c>
      <c r="I221" s="19"/>
      <c r="J221" s="19" t="s">
        <v>499</v>
      </c>
      <c r="K221" s="19" t="b">
        <v>1</v>
      </c>
      <c r="L221" s="15">
        <v>2023</v>
      </c>
      <c r="M221" s="16">
        <v>0.1145</v>
      </c>
      <c r="N221" s="20">
        <v>41453</v>
      </c>
      <c r="O221" s="20">
        <v>41453</v>
      </c>
    </row>
    <row r="222" spans="1:15" ht="14.25">
      <c r="A222" s="17">
        <v>2013</v>
      </c>
      <c r="B222" s="18" t="s">
        <v>482</v>
      </c>
      <c r="C222" s="18" t="s">
        <v>483</v>
      </c>
      <c r="D222" s="19">
        <v>3021062</v>
      </c>
      <c r="E222" s="19">
        <v>2</v>
      </c>
      <c r="F222" s="19"/>
      <c r="G222" s="19">
        <v>560</v>
      </c>
      <c r="H222" s="19">
        <v>10.1</v>
      </c>
      <c r="I222" s="19"/>
      <c r="J222" s="19" t="s">
        <v>112</v>
      </c>
      <c r="K222" s="19" t="b">
        <v>0</v>
      </c>
      <c r="L222" s="15">
        <v>2013</v>
      </c>
      <c r="M222" s="16">
        <v>338258</v>
      </c>
      <c r="N222" s="20">
        <v>41453</v>
      </c>
      <c r="O222" s="20">
        <v>41453</v>
      </c>
    </row>
    <row r="223" spans="1:15" ht="14.25">
      <c r="A223" s="17">
        <v>2013</v>
      </c>
      <c r="B223" s="18" t="s">
        <v>482</v>
      </c>
      <c r="C223" s="18" t="s">
        <v>483</v>
      </c>
      <c r="D223" s="19">
        <v>3021062</v>
      </c>
      <c r="E223" s="19">
        <v>2</v>
      </c>
      <c r="F223" s="19"/>
      <c r="G223" s="19">
        <v>300</v>
      </c>
      <c r="H223" s="19">
        <v>5</v>
      </c>
      <c r="I223" s="19" t="s">
        <v>496</v>
      </c>
      <c r="J223" s="19" t="s">
        <v>83</v>
      </c>
      <c r="K223" s="19" t="b">
        <v>0</v>
      </c>
      <c r="L223" s="15">
        <v>2024</v>
      </c>
      <c r="M223" s="16">
        <v>454350</v>
      </c>
      <c r="N223" s="20">
        <v>41453</v>
      </c>
      <c r="O223" s="20">
        <v>41453</v>
      </c>
    </row>
    <row r="224" spans="1:15" ht="14.25">
      <c r="A224" s="17">
        <v>2013</v>
      </c>
      <c r="B224" s="18" t="s">
        <v>482</v>
      </c>
      <c r="C224" s="18" t="s">
        <v>483</v>
      </c>
      <c r="D224" s="19">
        <v>3021062</v>
      </c>
      <c r="E224" s="19">
        <v>2</v>
      </c>
      <c r="F224" s="19"/>
      <c r="G224" s="19">
        <v>170</v>
      </c>
      <c r="H224" s="19" t="s">
        <v>68</v>
      </c>
      <c r="I224" s="19"/>
      <c r="J224" s="19" t="s">
        <v>69</v>
      </c>
      <c r="K224" s="19" t="b">
        <v>1</v>
      </c>
      <c r="L224" s="15">
        <v>2014</v>
      </c>
      <c r="M224" s="16">
        <v>407000</v>
      </c>
      <c r="N224" s="20">
        <v>41453</v>
      </c>
      <c r="O224" s="20">
        <v>41453</v>
      </c>
    </row>
    <row r="225" spans="1:15" ht="14.25">
      <c r="A225" s="17">
        <v>2013</v>
      </c>
      <c r="B225" s="18" t="s">
        <v>482</v>
      </c>
      <c r="C225" s="18" t="s">
        <v>483</v>
      </c>
      <c r="D225" s="19">
        <v>3021062</v>
      </c>
      <c r="E225" s="19">
        <v>2</v>
      </c>
      <c r="F225" s="19"/>
      <c r="G225" s="19">
        <v>780</v>
      </c>
      <c r="H225" s="19" t="s">
        <v>143</v>
      </c>
      <c r="I225" s="19"/>
      <c r="J225" s="19" t="s">
        <v>144</v>
      </c>
      <c r="K225" s="19" t="b">
        <v>1</v>
      </c>
      <c r="L225" s="15">
        <v>2013</v>
      </c>
      <c r="M225" s="16">
        <v>95146</v>
      </c>
      <c r="N225" s="20">
        <v>41453</v>
      </c>
      <c r="O225" s="20">
        <v>41453</v>
      </c>
    </row>
    <row r="226" spans="1:15" ht="14.25">
      <c r="A226" s="17">
        <v>2013</v>
      </c>
      <c r="B226" s="18" t="s">
        <v>482</v>
      </c>
      <c r="C226" s="18" t="s">
        <v>483</v>
      </c>
      <c r="D226" s="19">
        <v>3021062</v>
      </c>
      <c r="E226" s="19">
        <v>2</v>
      </c>
      <c r="F226" s="19"/>
      <c r="G226" s="19">
        <v>520</v>
      </c>
      <c r="H226" s="19" t="s">
        <v>106</v>
      </c>
      <c r="I226" s="19"/>
      <c r="J226" s="19" t="s">
        <v>493</v>
      </c>
      <c r="K226" s="19" t="b">
        <v>1</v>
      </c>
      <c r="L226" s="15">
        <v>2016</v>
      </c>
      <c r="M226" s="16">
        <v>0.0704</v>
      </c>
      <c r="N226" s="20">
        <v>41453</v>
      </c>
      <c r="O226" s="20">
        <v>41453</v>
      </c>
    </row>
    <row r="227" spans="1:15" ht="14.25">
      <c r="A227" s="17">
        <v>2013</v>
      </c>
      <c r="B227" s="18" t="s">
        <v>482</v>
      </c>
      <c r="C227" s="18" t="s">
        <v>483</v>
      </c>
      <c r="D227" s="19">
        <v>3021062</v>
      </c>
      <c r="E227" s="19">
        <v>2</v>
      </c>
      <c r="F227" s="19"/>
      <c r="G227" s="19">
        <v>480</v>
      </c>
      <c r="H227" s="19">
        <v>9.4</v>
      </c>
      <c r="I227" s="19" t="s">
        <v>484</v>
      </c>
      <c r="J227" s="19" t="s">
        <v>100</v>
      </c>
      <c r="K227" s="19" t="b">
        <v>0</v>
      </c>
      <c r="L227" s="15">
        <v>2018</v>
      </c>
      <c r="M227" s="16">
        <v>0.0507</v>
      </c>
      <c r="N227" s="20">
        <v>41453</v>
      </c>
      <c r="O227" s="20">
        <v>41453</v>
      </c>
    </row>
    <row r="228" spans="1:15" ht="14.25">
      <c r="A228" s="17">
        <v>2013</v>
      </c>
      <c r="B228" s="18" t="s">
        <v>482</v>
      </c>
      <c r="C228" s="18" t="s">
        <v>483</v>
      </c>
      <c r="D228" s="19">
        <v>3021062</v>
      </c>
      <c r="E228" s="19">
        <v>2</v>
      </c>
      <c r="F228" s="19"/>
      <c r="G228" s="19">
        <v>770</v>
      </c>
      <c r="H228" s="19" t="s">
        <v>141</v>
      </c>
      <c r="I228" s="19"/>
      <c r="J228" s="19" t="s">
        <v>142</v>
      </c>
      <c r="K228" s="19" t="b">
        <v>1</v>
      </c>
      <c r="L228" s="15">
        <v>2013</v>
      </c>
      <c r="M228" s="16">
        <v>42947</v>
      </c>
      <c r="N228" s="20">
        <v>41453</v>
      </c>
      <c r="O228" s="20">
        <v>41453</v>
      </c>
    </row>
    <row r="229" spans="1:15" ht="14.25">
      <c r="A229" s="17">
        <v>2013</v>
      </c>
      <c r="B229" s="18" t="s">
        <v>482</v>
      </c>
      <c r="C229" s="18" t="s">
        <v>483</v>
      </c>
      <c r="D229" s="19">
        <v>3021062</v>
      </c>
      <c r="E229" s="19">
        <v>2</v>
      </c>
      <c r="F229" s="19"/>
      <c r="G229" s="19">
        <v>540</v>
      </c>
      <c r="H229" s="19" t="s">
        <v>109</v>
      </c>
      <c r="I229" s="19" t="s">
        <v>502</v>
      </c>
      <c r="J229" s="19" t="s">
        <v>110</v>
      </c>
      <c r="K229" s="19" t="b">
        <v>0</v>
      </c>
      <c r="L229" s="15">
        <v>2013</v>
      </c>
      <c r="M229" s="16">
        <v>813</v>
      </c>
      <c r="N229" s="20">
        <v>41453</v>
      </c>
      <c r="O229" s="20">
        <v>41453</v>
      </c>
    </row>
    <row r="230" spans="1:15" ht="14.25">
      <c r="A230" s="17">
        <v>2013</v>
      </c>
      <c r="B230" s="18" t="s">
        <v>482</v>
      </c>
      <c r="C230" s="18" t="s">
        <v>483</v>
      </c>
      <c r="D230" s="19">
        <v>3021062</v>
      </c>
      <c r="E230" s="19">
        <v>2</v>
      </c>
      <c r="F230" s="19"/>
      <c r="G230" s="19">
        <v>500</v>
      </c>
      <c r="H230" s="19">
        <v>9.6</v>
      </c>
      <c r="I230" s="19" t="s">
        <v>498</v>
      </c>
      <c r="J230" s="19" t="s">
        <v>102</v>
      </c>
      <c r="K230" s="19" t="b">
        <v>0</v>
      </c>
      <c r="L230" s="15">
        <v>2019</v>
      </c>
      <c r="M230" s="16">
        <v>0.0434</v>
      </c>
      <c r="N230" s="20">
        <v>41453</v>
      </c>
      <c r="O230" s="20">
        <v>41453</v>
      </c>
    </row>
    <row r="231" spans="1:15" ht="14.25">
      <c r="A231" s="17">
        <v>2013</v>
      </c>
      <c r="B231" s="18" t="s">
        <v>482</v>
      </c>
      <c r="C231" s="18" t="s">
        <v>483</v>
      </c>
      <c r="D231" s="19">
        <v>3021062</v>
      </c>
      <c r="E231" s="19">
        <v>2</v>
      </c>
      <c r="F231" s="19"/>
      <c r="G231" s="19">
        <v>20</v>
      </c>
      <c r="H231" s="19">
        <v>1.1</v>
      </c>
      <c r="I231" s="19"/>
      <c r="J231" s="19" t="s">
        <v>43</v>
      </c>
      <c r="K231" s="19" t="b">
        <v>1</v>
      </c>
      <c r="L231" s="15">
        <v>2015</v>
      </c>
      <c r="M231" s="16">
        <v>20100000</v>
      </c>
      <c r="N231" s="20">
        <v>41453</v>
      </c>
      <c r="O231" s="20">
        <v>41453</v>
      </c>
    </row>
    <row r="232" spans="1:15" ht="14.25">
      <c r="A232" s="17">
        <v>2013</v>
      </c>
      <c r="B232" s="18" t="s">
        <v>482</v>
      </c>
      <c r="C232" s="18" t="s">
        <v>483</v>
      </c>
      <c r="D232" s="19">
        <v>3021062</v>
      </c>
      <c r="E232" s="19">
        <v>2</v>
      </c>
      <c r="F232" s="19"/>
      <c r="G232" s="19">
        <v>20</v>
      </c>
      <c r="H232" s="19">
        <v>1.1</v>
      </c>
      <c r="I232" s="19"/>
      <c r="J232" s="19" t="s">
        <v>43</v>
      </c>
      <c r="K232" s="19" t="b">
        <v>1</v>
      </c>
      <c r="L232" s="15">
        <v>2024</v>
      </c>
      <c r="M232" s="16">
        <v>24900000</v>
      </c>
      <c r="N232" s="20">
        <v>41453</v>
      </c>
      <c r="O232" s="20">
        <v>41453</v>
      </c>
    </row>
    <row r="233" spans="1:15" ht="14.25">
      <c r="A233" s="17">
        <v>2013</v>
      </c>
      <c r="B233" s="18" t="s">
        <v>482</v>
      </c>
      <c r="C233" s="18" t="s">
        <v>483</v>
      </c>
      <c r="D233" s="19">
        <v>3021062</v>
      </c>
      <c r="E233" s="19">
        <v>2</v>
      </c>
      <c r="F233" s="19"/>
      <c r="G233" s="19">
        <v>200</v>
      </c>
      <c r="H233" s="19">
        <v>3</v>
      </c>
      <c r="I233" s="19" t="s">
        <v>488</v>
      </c>
      <c r="J233" s="19" t="s">
        <v>23</v>
      </c>
      <c r="K233" s="19" t="b">
        <v>0</v>
      </c>
      <c r="L233" s="15">
        <v>2021</v>
      </c>
      <c r="M233" s="16">
        <v>716851</v>
      </c>
      <c r="N233" s="20">
        <v>41453</v>
      </c>
      <c r="O233" s="20">
        <v>41453</v>
      </c>
    </row>
    <row r="234" spans="1:15" ht="14.25">
      <c r="A234" s="17">
        <v>2013</v>
      </c>
      <c r="B234" s="18" t="s">
        <v>482</v>
      </c>
      <c r="C234" s="18" t="s">
        <v>483</v>
      </c>
      <c r="D234" s="19">
        <v>3021062</v>
      </c>
      <c r="E234" s="19">
        <v>2</v>
      </c>
      <c r="F234" s="19"/>
      <c r="G234" s="19">
        <v>520</v>
      </c>
      <c r="H234" s="19" t="s">
        <v>106</v>
      </c>
      <c r="I234" s="19"/>
      <c r="J234" s="19" t="s">
        <v>493</v>
      </c>
      <c r="K234" s="19" t="b">
        <v>1</v>
      </c>
      <c r="L234" s="15">
        <v>2020</v>
      </c>
      <c r="M234" s="16">
        <v>0.0918</v>
      </c>
      <c r="N234" s="20">
        <v>41453</v>
      </c>
      <c r="O234" s="20">
        <v>41453</v>
      </c>
    </row>
    <row r="235" spans="1:15" ht="14.25">
      <c r="A235" s="17">
        <v>2013</v>
      </c>
      <c r="B235" s="18" t="s">
        <v>482</v>
      </c>
      <c r="C235" s="18" t="s">
        <v>483</v>
      </c>
      <c r="D235" s="19">
        <v>3021062</v>
      </c>
      <c r="E235" s="19">
        <v>2</v>
      </c>
      <c r="F235" s="19"/>
      <c r="G235" s="19">
        <v>640</v>
      </c>
      <c r="H235" s="19">
        <v>11.5</v>
      </c>
      <c r="I235" s="19"/>
      <c r="J235" s="19" t="s">
        <v>122</v>
      </c>
      <c r="K235" s="19" t="b">
        <v>1</v>
      </c>
      <c r="L235" s="15">
        <v>2014</v>
      </c>
      <c r="M235" s="16">
        <v>1208010</v>
      </c>
      <c r="N235" s="20">
        <v>41453</v>
      </c>
      <c r="O235" s="20">
        <v>41453</v>
      </c>
    </row>
    <row r="236" spans="1:15" ht="14.25">
      <c r="A236" s="17">
        <v>2013</v>
      </c>
      <c r="B236" s="18" t="s">
        <v>482</v>
      </c>
      <c r="C236" s="18" t="s">
        <v>483</v>
      </c>
      <c r="D236" s="19">
        <v>3021062</v>
      </c>
      <c r="E236" s="19">
        <v>2</v>
      </c>
      <c r="F236" s="19"/>
      <c r="G236" s="19">
        <v>20</v>
      </c>
      <c r="H236" s="19">
        <v>1.1</v>
      </c>
      <c r="I236" s="19"/>
      <c r="J236" s="19" t="s">
        <v>43</v>
      </c>
      <c r="K236" s="19" t="b">
        <v>1</v>
      </c>
      <c r="L236" s="15">
        <v>2022</v>
      </c>
      <c r="M236" s="16">
        <v>23937000</v>
      </c>
      <c r="N236" s="20">
        <v>41453</v>
      </c>
      <c r="O236" s="20">
        <v>41453</v>
      </c>
    </row>
    <row r="237" spans="1:15" ht="14.25">
      <c r="A237" s="17">
        <v>2013</v>
      </c>
      <c r="B237" s="18" t="s">
        <v>482</v>
      </c>
      <c r="C237" s="18" t="s">
        <v>483</v>
      </c>
      <c r="D237" s="19">
        <v>3021062</v>
      </c>
      <c r="E237" s="19">
        <v>2</v>
      </c>
      <c r="F237" s="19"/>
      <c r="G237" s="19">
        <v>510</v>
      </c>
      <c r="H237" s="19">
        <v>9.7</v>
      </c>
      <c r="I237" s="19"/>
      <c r="J237" s="19" t="s">
        <v>499</v>
      </c>
      <c r="K237" s="19" t="b">
        <v>1</v>
      </c>
      <c r="L237" s="15">
        <v>2018</v>
      </c>
      <c r="M237" s="16">
        <v>0.0768</v>
      </c>
      <c r="N237" s="20">
        <v>41453</v>
      </c>
      <c r="O237" s="20">
        <v>41453</v>
      </c>
    </row>
    <row r="238" spans="1:15" ht="14.25">
      <c r="A238" s="17">
        <v>2013</v>
      </c>
      <c r="B238" s="18" t="s">
        <v>482</v>
      </c>
      <c r="C238" s="18" t="s">
        <v>483</v>
      </c>
      <c r="D238" s="19">
        <v>3021062</v>
      </c>
      <c r="E238" s="19">
        <v>2</v>
      </c>
      <c r="F238" s="19"/>
      <c r="G238" s="19">
        <v>460</v>
      </c>
      <c r="H238" s="19">
        <v>9.2</v>
      </c>
      <c r="I238" s="19" t="s">
        <v>484</v>
      </c>
      <c r="J238" s="19" t="s">
        <v>99</v>
      </c>
      <c r="K238" s="19" t="b">
        <v>0</v>
      </c>
      <c r="L238" s="15">
        <v>2017</v>
      </c>
      <c r="M238" s="16">
        <v>0.0563</v>
      </c>
      <c r="N238" s="20">
        <v>41453</v>
      </c>
      <c r="O238" s="20">
        <v>41453</v>
      </c>
    </row>
    <row r="239" spans="1:15" ht="14.25">
      <c r="A239" s="17">
        <v>2013</v>
      </c>
      <c r="B239" s="18" t="s">
        <v>482</v>
      </c>
      <c r="C239" s="18" t="s">
        <v>483</v>
      </c>
      <c r="D239" s="19">
        <v>3021062</v>
      </c>
      <c r="E239" s="19">
        <v>2</v>
      </c>
      <c r="F239" s="19"/>
      <c r="G239" s="19">
        <v>460</v>
      </c>
      <c r="H239" s="19">
        <v>9.2</v>
      </c>
      <c r="I239" s="19" t="s">
        <v>484</v>
      </c>
      <c r="J239" s="19" t="s">
        <v>99</v>
      </c>
      <c r="K239" s="19" t="b">
        <v>0</v>
      </c>
      <c r="L239" s="15">
        <v>2019</v>
      </c>
      <c r="M239" s="16">
        <v>0.0434</v>
      </c>
      <c r="N239" s="20">
        <v>41453</v>
      </c>
      <c r="O239" s="20">
        <v>41453</v>
      </c>
    </row>
    <row r="240" spans="1:15" ht="14.25">
      <c r="A240" s="17">
        <v>2013</v>
      </c>
      <c r="B240" s="18" t="s">
        <v>482</v>
      </c>
      <c r="C240" s="18" t="s">
        <v>483</v>
      </c>
      <c r="D240" s="19">
        <v>3021062</v>
      </c>
      <c r="E240" s="19">
        <v>2</v>
      </c>
      <c r="F240" s="19"/>
      <c r="G240" s="19">
        <v>190</v>
      </c>
      <c r="H240" s="19">
        <v>2.2</v>
      </c>
      <c r="I240" s="19"/>
      <c r="J240" s="19" t="s">
        <v>72</v>
      </c>
      <c r="K240" s="19" t="b">
        <v>0</v>
      </c>
      <c r="L240" s="15">
        <v>2013</v>
      </c>
      <c r="M240" s="16">
        <v>2561060</v>
      </c>
      <c r="N240" s="20">
        <v>41453</v>
      </c>
      <c r="O240" s="20">
        <v>41453</v>
      </c>
    </row>
    <row r="241" spans="1:15" ht="14.25">
      <c r="A241" s="17">
        <v>2013</v>
      </c>
      <c r="B241" s="18" t="s">
        <v>482</v>
      </c>
      <c r="C241" s="18" t="s">
        <v>483</v>
      </c>
      <c r="D241" s="19">
        <v>3021062</v>
      </c>
      <c r="E241" s="19">
        <v>2</v>
      </c>
      <c r="F241" s="19"/>
      <c r="G241" s="19">
        <v>380</v>
      </c>
      <c r="H241" s="19">
        <v>6.2</v>
      </c>
      <c r="I241" s="19" t="s">
        <v>500</v>
      </c>
      <c r="J241" s="19" t="s">
        <v>93</v>
      </c>
      <c r="K241" s="19" t="b">
        <v>0</v>
      </c>
      <c r="L241" s="15">
        <v>2019</v>
      </c>
      <c r="M241" s="16">
        <v>0.1395</v>
      </c>
      <c r="N241" s="20">
        <v>41453</v>
      </c>
      <c r="O241" s="20">
        <v>41453</v>
      </c>
    </row>
    <row r="242" spans="1:15" ht="14.25">
      <c r="A242" s="17">
        <v>2013</v>
      </c>
      <c r="B242" s="18" t="s">
        <v>482</v>
      </c>
      <c r="C242" s="18" t="s">
        <v>483</v>
      </c>
      <c r="D242" s="19">
        <v>3021062</v>
      </c>
      <c r="E242" s="19">
        <v>2</v>
      </c>
      <c r="F242" s="19"/>
      <c r="G242" s="19">
        <v>420</v>
      </c>
      <c r="H242" s="19">
        <v>8.1</v>
      </c>
      <c r="I242" s="19" t="s">
        <v>487</v>
      </c>
      <c r="J242" s="19" t="s">
        <v>96</v>
      </c>
      <c r="K242" s="19" t="b">
        <v>0</v>
      </c>
      <c r="L242" s="15">
        <v>2020</v>
      </c>
      <c r="M242" s="16">
        <v>2400000</v>
      </c>
      <c r="N242" s="20">
        <v>41453</v>
      </c>
      <c r="O242" s="20">
        <v>41453</v>
      </c>
    </row>
    <row r="243" spans="1:15" ht="14.25">
      <c r="A243" s="17">
        <v>2013</v>
      </c>
      <c r="B243" s="18" t="s">
        <v>482</v>
      </c>
      <c r="C243" s="18" t="s">
        <v>483</v>
      </c>
      <c r="D243" s="19">
        <v>3021062</v>
      </c>
      <c r="E243" s="19">
        <v>2</v>
      </c>
      <c r="F243" s="19"/>
      <c r="G243" s="19">
        <v>450</v>
      </c>
      <c r="H243" s="19">
        <v>9.1</v>
      </c>
      <c r="I243" s="19" t="s">
        <v>486</v>
      </c>
      <c r="J243" s="19" t="s">
        <v>98</v>
      </c>
      <c r="K243" s="19" t="b">
        <v>1</v>
      </c>
      <c r="L243" s="15">
        <v>2016</v>
      </c>
      <c r="M243" s="16">
        <v>0.06</v>
      </c>
      <c r="N243" s="20">
        <v>41453</v>
      </c>
      <c r="O243" s="20">
        <v>41453</v>
      </c>
    </row>
    <row r="244" spans="1:15" ht="14.25">
      <c r="A244" s="17">
        <v>2013</v>
      </c>
      <c r="B244" s="18" t="s">
        <v>482</v>
      </c>
      <c r="C244" s="18" t="s">
        <v>483</v>
      </c>
      <c r="D244" s="19">
        <v>3021062</v>
      </c>
      <c r="E244" s="19">
        <v>2</v>
      </c>
      <c r="F244" s="19"/>
      <c r="G244" s="19">
        <v>505</v>
      </c>
      <c r="H244" s="19" t="s">
        <v>103</v>
      </c>
      <c r="I244" s="19" t="s">
        <v>497</v>
      </c>
      <c r="J244" s="19" t="s">
        <v>104</v>
      </c>
      <c r="K244" s="19" t="b">
        <v>0</v>
      </c>
      <c r="L244" s="15">
        <v>2015</v>
      </c>
      <c r="M244" s="16">
        <v>0.0749</v>
      </c>
      <c r="N244" s="20">
        <v>41453</v>
      </c>
      <c r="O244" s="20">
        <v>41453</v>
      </c>
    </row>
    <row r="245" spans="1:15" ht="14.25">
      <c r="A245" s="17">
        <v>2013</v>
      </c>
      <c r="B245" s="18" t="s">
        <v>482</v>
      </c>
      <c r="C245" s="18" t="s">
        <v>483</v>
      </c>
      <c r="D245" s="19">
        <v>3021062</v>
      </c>
      <c r="E245" s="19">
        <v>2</v>
      </c>
      <c r="F245" s="19"/>
      <c r="G245" s="19">
        <v>20</v>
      </c>
      <c r="H245" s="19">
        <v>1.1</v>
      </c>
      <c r="I245" s="19"/>
      <c r="J245" s="19" t="s">
        <v>43</v>
      </c>
      <c r="K245" s="19" t="b">
        <v>1</v>
      </c>
      <c r="L245" s="15">
        <v>2014</v>
      </c>
      <c r="M245" s="16">
        <v>19300045</v>
      </c>
      <c r="N245" s="20">
        <v>41453</v>
      </c>
      <c r="O245" s="20">
        <v>41453</v>
      </c>
    </row>
    <row r="246" spans="1:15" ht="14.25">
      <c r="A246" s="17">
        <v>2013</v>
      </c>
      <c r="B246" s="18" t="s">
        <v>482</v>
      </c>
      <c r="C246" s="18" t="s">
        <v>483</v>
      </c>
      <c r="D246" s="19">
        <v>3021062</v>
      </c>
      <c r="E246" s="19">
        <v>2</v>
      </c>
      <c r="F246" s="19"/>
      <c r="G246" s="19">
        <v>505</v>
      </c>
      <c r="H246" s="19" t="s">
        <v>103</v>
      </c>
      <c r="I246" s="19" t="s">
        <v>497</v>
      </c>
      <c r="J246" s="19" t="s">
        <v>104</v>
      </c>
      <c r="K246" s="19" t="b">
        <v>0</v>
      </c>
      <c r="L246" s="15">
        <v>2013</v>
      </c>
      <c r="M246" s="16">
        <v>0.0737</v>
      </c>
      <c r="N246" s="20">
        <v>41453</v>
      </c>
      <c r="O246" s="20">
        <v>41453</v>
      </c>
    </row>
    <row r="247" spans="1:15" ht="14.25">
      <c r="A247" s="17">
        <v>2013</v>
      </c>
      <c r="B247" s="18" t="s">
        <v>482</v>
      </c>
      <c r="C247" s="18" t="s">
        <v>483</v>
      </c>
      <c r="D247" s="19">
        <v>3021062</v>
      </c>
      <c r="E247" s="19">
        <v>2</v>
      </c>
      <c r="F247" s="19"/>
      <c r="G247" s="19">
        <v>180</v>
      </c>
      <c r="H247" s="19" t="s">
        <v>70</v>
      </c>
      <c r="I247" s="19"/>
      <c r="J247" s="19" t="s">
        <v>71</v>
      </c>
      <c r="K247" s="19" t="b">
        <v>0</v>
      </c>
      <c r="L247" s="15">
        <v>2015</v>
      </c>
      <c r="M247" s="16">
        <v>329000</v>
      </c>
      <c r="N247" s="20">
        <v>41453</v>
      </c>
      <c r="O247" s="20">
        <v>41453</v>
      </c>
    </row>
    <row r="248" spans="1:15" ht="14.25">
      <c r="A248" s="17">
        <v>2013</v>
      </c>
      <c r="B248" s="18" t="s">
        <v>482</v>
      </c>
      <c r="C248" s="18" t="s">
        <v>483</v>
      </c>
      <c r="D248" s="19">
        <v>3021062</v>
      </c>
      <c r="E248" s="19">
        <v>2</v>
      </c>
      <c r="F248" s="19"/>
      <c r="G248" s="19">
        <v>110</v>
      </c>
      <c r="H248" s="19" t="s">
        <v>59</v>
      </c>
      <c r="I248" s="19"/>
      <c r="J248" s="19" t="s">
        <v>60</v>
      </c>
      <c r="K248" s="19" t="b">
        <v>1</v>
      </c>
      <c r="L248" s="15">
        <v>2013</v>
      </c>
      <c r="M248" s="16">
        <v>1268091</v>
      </c>
      <c r="N248" s="20">
        <v>41453</v>
      </c>
      <c r="O248" s="20">
        <v>41453</v>
      </c>
    </row>
    <row r="249" spans="1:15" ht="14.25">
      <c r="A249" s="17">
        <v>2013</v>
      </c>
      <c r="B249" s="18" t="s">
        <v>482</v>
      </c>
      <c r="C249" s="18" t="s">
        <v>483</v>
      </c>
      <c r="D249" s="19">
        <v>3021062</v>
      </c>
      <c r="E249" s="19">
        <v>2</v>
      </c>
      <c r="F249" s="19"/>
      <c r="G249" s="19">
        <v>480</v>
      </c>
      <c r="H249" s="19">
        <v>9.4</v>
      </c>
      <c r="I249" s="19" t="s">
        <v>484</v>
      </c>
      <c r="J249" s="19" t="s">
        <v>100</v>
      </c>
      <c r="K249" s="19" t="b">
        <v>0</v>
      </c>
      <c r="L249" s="15">
        <v>2019</v>
      </c>
      <c r="M249" s="16">
        <v>0.0434</v>
      </c>
      <c r="N249" s="20">
        <v>41453</v>
      </c>
      <c r="O249" s="20">
        <v>41453</v>
      </c>
    </row>
    <row r="250" spans="1:15" ht="14.25">
      <c r="A250" s="17">
        <v>2013</v>
      </c>
      <c r="B250" s="18" t="s">
        <v>482</v>
      </c>
      <c r="C250" s="18" t="s">
        <v>483</v>
      </c>
      <c r="D250" s="19">
        <v>3021062</v>
      </c>
      <c r="E250" s="19">
        <v>2</v>
      </c>
      <c r="F250" s="19"/>
      <c r="G250" s="19">
        <v>470</v>
      </c>
      <c r="H250" s="19">
        <v>9.3</v>
      </c>
      <c r="I250" s="19" t="s">
        <v>486</v>
      </c>
      <c r="J250" s="19" t="s">
        <v>495</v>
      </c>
      <c r="K250" s="19" t="b">
        <v>1</v>
      </c>
      <c r="L250" s="15">
        <v>2019</v>
      </c>
      <c r="M250" s="16">
        <v>0.0434</v>
      </c>
      <c r="N250" s="20">
        <v>41453</v>
      </c>
      <c r="O250" s="20">
        <v>41453</v>
      </c>
    </row>
    <row r="251" spans="1:15" ht="14.25">
      <c r="A251" s="17">
        <v>2013</v>
      </c>
      <c r="B251" s="18" t="s">
        <v>482</v>
      </c>
      <c r="C251" s="18" t="s">
        <v>483</v>
      </c>
      <c r="D251" s="19">
        <v>3021062</v>
      </c>
      <c r="E251" s="19">
        <v>2</v>
      </c>
      <c r="F251" s="19"/>
      <c r="G251" s="19">
        <v>560</v>
      </c>
      <c r="H251" s="19">
        <v>10.1</v>
      </c>
      <c r="I251" s="19"/>
      <c r="J251" s="19" t="s">
        <v>112</v>
      </c>
      <c r="K251" s="19" t="b">
        <v>0</v>
      </c>
      <c r="L251" s="15">
        <v>2024</v>
      </c>
      <c r="M251" s="16">
        <v>454350</v>
      </c>
      <c r="N251" s="20">
        <v>41453</v>
      </c>
      <c r="O251" s="20">
        <v>41453</v>
      </c>
    </row>
    <row r="252" spans="1:15" ht="14.25">
      <c r="A252" s="17">
        <v>2013</v>
      </c>
      <c r="B252" s="18" t="s">
        <v>482</v>
      </c>
      <c r="C252" s="18" t="s">
        <v>483</v>
      </c>
      <c r="D252" s="19">
        <v>3021062</v>
      </c>
      <c r="E252" s="19">
        <v>2</v>
      </c>
      <c r="F252" s="19"/>
      <c r="G252" s="19">
        <v>20</v>
      </c>
      <c r="H252" s="19">
        <v>1.1</v>
      </c>
      <c r="I252" s="19"/>
      <c r="J252" s="19" t="s">
        <v>43</v>
      </c>
      <c r="K252" s="19" t="b">
        <v>1</v>
      </c>
      <c r="L252" s="15">
        <v>2018</v>
      </c>
      <c r="M252" s="16">
        <v>21900000</v>
      </c>
      <c r="N252" s="20">
        <v>41453</v>
      </c>
      <c r="O252" s="20">
        <v>41453</v>
      </c>
    </row>
    <row r="253" spans="1:15" ht="14.25">
      <c r="A253" s="17">
        <v>2013</v>
      </c>
      <c r="B253" s="18" t="s">
        <v>482</v>
      </c>
      <c r="C253" s="18" t="s">
        <v>483</v>
      </c>
      <c r="D253" s="19">
        <v>3021062</v>
      </c>
      <c r="E253" s="19">
        <v>2</v>
      </c>
      <c r="F253" s="19"/>
      <c r="G253" s="19">
        <v>170</v>
      </c>
      <c r="H253" s="19" t="s">
        <v>68</v>
      </c>
      <c r="I253" s="19"/>
      <c r="J253" s="19" t="s">
        <v>69</v>
      </c>
      <c r="K253" s="19" t="b">
        <v>1</v>
      </c>
      <c r="L253" s="15">
        <v>2019</v>
      </c>
      <c r="M253" s="16">
        <v>202000</v>
      </c>
      <c r="N253" s="20">
        <v>41453</v>
      </c>
      <c r="O253" s="20">
        <v>41453</v>
      </c>
    </row>
    <row r="254" spans="1:15" ht="14.25">
      <c r="A254" s="17">
        <v>2013</v>
      </c>
      <c r="B254" s="18" t="s">
        <v>482</v>
      </c>
      <c r="C254" s="18" t="s">
        <v>483</v>
      </c>
      <c r="D254" s="19">
        <v>3021062</v>
      </c>
      <c r="E254" s="19">
        <v>2</v>
      </c>
      <c r="F254" s="19"/>
      <c r="G254" s="19">
        <v>620</v>
      </c>
      <c r="H254" s="19" t="s">
        <v>119</v>
      </c>
      <c r="I254" s="19"/>
      <c r="J254" s="19" t="s">
        <v>120</v>
      </c>
      <c r="K254" s="19" t="b">
        <v>1</v>
      </c>
      <c r="L254" s="15">
        <v>2015</v>
      </c>
      <c r="M254" s="16">
        <v>1750990</v>
      </c>
      <c r="N254" s="20">
        <v>41453</v>
      </c>
      <c r="O254" s="20">
        <v>41453</v>
      </c>
    </row>
    <row r="255" spans="1:15" ht="14.25">
      <c r="A255" s="17">
        <v>2013</v>
      </c>
      <c r="B255" s="18" t="s">
        <v>482</v>
      </c>
      <c r="C255" s="18" t="s">
        <v>483</v>
      </c>
      <c r="D255" s="19">
        <v>3021062</v>
      </c>
      <c r="E255" s="19">
        <v>2</v>
      </c>
      <c r="F255" s="19"/>
      <c r="G255" s="19">
        <v>505</v>
      </c>
      <c r="H255" s="19" t="s">
        <v>103</v>
      </c>
      <c r="I255" s="19" t="s">
        <v>497</v>
      </c>
      <c r="J255" s="19" t="s">
        <v>104</v>
      </c>
      <c r="K255" s="19" t="b">
        <v>0</v>
      </c>
      <c r="L255" s="15">
        <v>2014</v>
      </c>
      <c r="M255" s="16">
        <v>0.0626</v>
      </c>
      <c r="N255" s="20">
        <v>41453</v>
      </c>
      <c r="O255" s="20">
        <v>41453</v>
      </c>
    </row>
    <row r="256" spans="1:15" ht="14.25">
      <c r="A256" s="17">
        <v>2013</v>
      </c>
      <c r="B256" s="18" t="s">
        <v>482</v>
      </c>
      <c r="C256" s="18" t="s">
        <v>483</v>
      </c>
      <c r="D256" s="19">
        <v>3021062</v>
      </c>
      <c r="E256" s="19">
        <v>2</v>
      </c>
      <c r="F256" s="19"/>
      <c r="G256" s="19">
        <v>390</v>
      </c>
      <c r="H256" s="19">
        <v>6.3</v>
      </c>
      <c r="I256" s="19" t="s">
        <v>489</v>
      </c>
      <c r="J256" s="19" t="s">
        <v>94</v>
      </c>
      <c r="K256" s="19" t="b">
        <v>0</v>
      </c>
      <c r="L256" s="15">
        <v>2021</v>
      </c>
      <c r="M256" s="16">
        <v>0.0784</v>
      </c>
      <c r="N256" s="20">
        <v>41453</v>
      </c>
      <c r="O256" s="20">
        <v>41453</v>
      </c>
    </row>
    <row r="257" spans="1:15" ht="14.25">
      <c r="A257" s="17">
        <v>2013</v>
      </c>
      <c r="B257" s="18" t="s">
        <v>482</v>
      </c>
      <c r="C257" s="18" t="s">
        <v>483</v>
      </c>
      <c r="D257" s="19">
        <v>3021062</v>
      </c>
      <c r="E257" s="19">
        <v>2</v>
      </c>
      <c r="F257" s="19"/>
      <c r="G257" s="19">
        <v>590</v>
      </c>
      <c r="H257" s="19">
        <v>11.2</v>
      </c>
      <c r="I257" s="19"/>
      <c r="J257" s="19" t="s">
        <v>115</v>
      </c>
      <c r="K257" s="19" t="b">
        <v>1</v>
      </c>
      <c r="L257" s="15">
        <v>2015</v>
      </c>
      <c r="M257" s="16">
        <v>1765000</v>
      </c>
      <c r="N257" s="20">
        <v>41453</v>
      </c>
      <c r="O257" s="20">
        <v>41453</v>
      </c>
    </row>
    <row r="258" spans="1:15" ht="14.25">
      <c r="A258" s="17">
        <v>2013</v>
      </c>
      <c r="B258" s="18" t="s">
        <v>482</v>
      </c>
      <c r="C258" s="18" t="s">
        <v>483</v>
      </c>
      <c r="D258" s="19">
        <v>3021062</v>
      </c>
      <c r="E258" s="19">
        <v>2</v>
      </c>
      <c r="F258" s="19"/>
      <c r="G258" s="19">
        <v>390</v>
      </c>
      <c r="H258" s="19">
        <v>6.3</v>
      </c>
      <c r="I258" s="19" t="s">
        <v>489</v>
      </c>
      <c r="J258" s="19" t="s">
        <v>94</v>
      </c>
      <c r="K258" s="19" t="b">
        <v>0</v>
      </c>
      <c r="L258" s="15">
        <v>2014</v>
      </c>
      <c r="M258" s="16">
        <v>0.3519</v>
      </c>
      <c r="N258" s="20">
        <v>41453</v>
      </c>
      <c r="O258" s="20">
        <v>41453</v>
      </c>
    </row>
    <row r="259" spans="1:15" ht="14.25">
      <c r="A259" s="17">
        <v>2013</v>
      </c>
      <c r="B259" s="18" t="s">
        <v>482</v>
      </c>
      <c r="C259" s="18" t="s">
        <v>483</v>
      </c>
      <c r="D259" s="19">
        <v>3021062</v>
      </c>
      <c r="E259" s="19">
        <v>2</v>
      </c>
      <c r="F259" s="19"/>
      <c r="G259" s="19">
        <v>880</v>
      </c>
      <c r="H259" s="19">
        <v>14.1</v>
      </c>
      <c r="I259" s="19"/>
      <c r="J259" s="19" t="s">
        <v>154</v>
      </c>
      <c r="K259" s="19" t="b">
        <v>1</v>
      </c>
      <c r="L259" s="15">
        <v>2015</v>
      </c>
      <c r="M259" s="16">
        <v>835135</v>
      </c>
      <c r="N259" s="20">
        <v>41453</v>
      </c>
      <c r="O259" s="20">
        <v>41453</v>
      </c>
    </row>
    <row r="260" spans="1:15" ht="14.25">
      <c r="A260" s="17">
        <v>2013</v>
      </c>
      <c r="B260" s="18" t="s">
        <v>482</v>
      </c>
      <c r="C260" s="18" t="s">
        <v>483</v>
      </c>
      <c r="D260" s="19">
        <v>3021062</v>
      </c>
      <c r="E260" s="19">
        <v>2</v>
      </c>
      <c r="F260" s="19"/>
      <c r="G260" s="19">
        <v>80</v>
      </c>
      <c r="H260" s="19" t="s">
        <v>54</v>
      </c>
      <c r="I260" s="19"/>
      <c r="J260" s="19" t="s">
        <v>55</v>
      </c>
      <c r="K260" s="19" t="b">
        <v>1</v>
      </c>
      <c r="L260" s="15">
        <v>2016</v>
      </c>
      <c r="M260" s="16">
        <v>1500000</v>
      </c>
      <c r="N260" s="20">
        <v>41453</v>
      </c>
      <c r="O260" s="20">
        <v>41453</v>
      </c>
    </row>
    <row r="261" spans="1:15" ht="14.25">
      <c r="A261" s="17">
        <v>2013</v>
      </c>
      <c r="B261" s="18" t="s">
        <v>482</v>
      </c>
      <c r="C261" s="18" t="s">
        <v>483</v>
      </c>
      <c r="D261" s="19">
        <v>3021062</v>
      </c>
      <c r="E261" s="19">
        <v>2</v>
      </c>
      <c r="F261" s="19"/>
      <c r="G261" s="19">
        <v>560</v>
      </c>
      <c r="H261" s="19">
        <v>10.1</v>
      </c>
      <c r="I261" s="19"/>
      <c r="J261" s="19" t="s">
        <v>112</v>
      </c>
      <c r="K261" s="19" t="b">
        <v>0</v>
      </c>
      <c r="L261" s="15">
        <v>2017</v>
      </c>
      <c r="M261" s="16">
        <v>915135</v>
      </c>
      <c r="N261" s="20">
        <v>41453</v>
      </c>
      <c r="O261" s="20">
        <v>41453</v>
      </c>
    </row>
    <row r="262" spans="1:15" ht="14.25">
      <c r="A262" s="17">
        <v>2013</v>
      </c>
      <c r="B262" s="18" t="s">
        <v>482</v>
      </c>
      <c r="C262" s="18" t="s">
        <v>483</v>
      </c>
      <c r="D262" s="19">
        <v>3021062</v>
      </c>
      <c r="E262" s="19">
        <v>2</v>
      </c>
      <c r="F262" s="19"/>
      <c r="G262" s="19">
        <v>180</v>
      </c>
      <c r="H262" s="19" t="s">
        <v>70</v>
      </c>
      <c r="I262" s="19"/>
      <c r="J262" s="19" t="s">
        <v>71</v>
      </c>
      <c r="K262" s="19" t="b">
        <v>0</v>
      </c>
      <c r="L262" s="15">
        <v>2021</v>
      </c>
      <c r="M262" s="16">
        <v>130000</v>
      </c>
      <c r="N262" s="20">
        <v>41453</v>
      </c>
      <c r="O262" s="20">
        <v>41453</v>
      </c>
    </row>
    <row r="263" spans="1:15" ht="14.25">
      <c r="A263" s="17">
        <v>2013</v>
      </c>
      <c r="B263" s="18" t="s">
        <v>482</v>
      </c>
      <c r="C263" s="18" t="s">
        <v>483</v>
      </c>
      <c r="D263" s="19">
        <v>3021062</v>
      </c>
      <c r="E263" s="19">
        <v>2</v>
      </c>
      <c r="F263" s="19"/>
      <c r="G263" s="19">
        <v>550</v>
      </c>
      <c r="H263" s="19">
        <v>10</v>
      </c>
      <c r="I263" s="19"/>
      <c r="J263" s="19" t="s">
        <v>111</v>
      </c>
      <c r="K263" s="19" t="b">
        <v>0</v>
      </c>
      <c r="L263" s="15">
        <v>2017</v>
      </c>
      <c r="M263" s="16">
        <v>915135</v>
      </c>
      <c r="N263" s="20">
        <v>41453</v>
      </c>
      <c r="O263" s="20">
        <v>41453</v>
      </c>
    </row>
    <row r="264" spans="1:15" ht="14.25">
      <c r="A264" s="17">
        <v>2013</v>
      </c>
      <c r="B264" s="18" t="s">
        <v>482</v>
      </c>
      <c r="C264" s="18" t="s">
        <v>483</v>
      </c>
      <c r="D264" s="19">
        <v>3021062</v>
      </c>
      <c r="E264" s="19">
        <v>2</v>
      </c>
      <c r="F264" s="19"/>
      <c r="G264" s="19">
        <v>390</v>
      </c>
      <c r="H264" s="19">
        <v>6.3</v>
      </c>
      <c r="I264" s="19" t="s">
        <v>489</v>
      </c>
      <c r="J264" s="19" t="s">
        <v>94</v>
      </c>
      <c r="K264" s="19" t="b">
        <v>0</v>
      </c>
      <c r="L264" s="15">
        <v>2017</v>
      </c>
      <c r="M264" s="16">
        <v>0.2244</v>
      </c>
      <c r="N264" s="20">
        <v>41453</v>
      </c>
      <c r="O264" s="20">
        <v>41453</v>
      </c>
    </row>
    <row r="265" spans="1:15" ht="14.25">
      <c r="A265" s="17">
        <v>2013</v>
      </c>
      <c r="B265" s="18" t="s">
        <v>482</v>
      </c>
      <c r="C265" s="18" t="s">
        <v>483</v>
      </c>
      <c r="D265" s="19">
        <v>3021062</v>
      </c>
      <c r="E265" s="19">
        <v>2</v>
      </c>
      <c r="F265" s="19"/>
      <c r="G265" s="19">
        <v>430</v>
      </c>
      <c r="H265" s="19">
        <v>8.2</v>
      </c>
      <c r="I265" s="19" t="s">
        <v>490</v>
      </c>
      <c r="J265" s="19" t="s">
        <v>97</v>
      </c>
      <c r="K265" s="19" t="b">
        <v>0</v>
      </c>
      <c r="L265" s="15">
        <v>2023</v>
      </c>
      <c r="M265" s="16">
        <v>3280000</v>
      </c>
      <c r="N265" s="20">
        <v>41453</v>
      </c>
      <c r="O265" s="20">
        <v>41453</v>
      </c>
    </row>
    <row r="266" spans="1:15" ht="14.25">
      <c r="A266" s="17">
        <v>2013</v>
      </c>
      <c r="B266" s="18" t="s">
        <v>482</v>
      </c>
      <c r="C266" s="18" t="s">
        <v>483</v>
      </c>
      <c r="D266" s="19">
        <v>3021062</v>
      </c>
      <c r="E266" s="19">
        <v>2</v>
      </c>
      <c r="F266" s="19"/>
      <c r="G266" s="19">
        <v>520</v>
      </c>
      <c r="H266" s="19" t="s">
        <v>106</v>
      </c>
      <c r="I266" s="19"/>
      <c r="J266" s="19" t="s">
        <v>493</v>
      </c>
      <c r="K266" s="19" t="b">
        <v>1</v>
      </c>
      <c r="L266" s="15">
        <v>2022</v>
      </c>
      <c r="M266" s="16">
        <v>0.1063</v>
      </c>
      <c r="N266" s="20">
        <v>41453</v>
      </c>
      <c r="O266" s="20">
        <v>41453</v>
      </c>
    </row>
    <row r="267" spans="1:15" ht="14.25">
      <c r="A267" s="17">
        <v>2013</v>
      </c>
      <c r="B267" s="18" t="s">
        <v>482</v>
      </c>
      <c r="C267" s="18" t="s">
        <v>483</v>
      </c>
      <c r="D267" s="19">
        <v>3021062</v>
      </c>
      <c r="E267" s="19">
        <v>2</v>
      </c>
      <c r="F267" s="19"/>
      <c r="G267" s="19">
        <v>540</v>
      </c>
      <c r="H267" s="19" t="s">
        <v>109</v>
      </c>
      <c r="I267" s="19" t="s">
        <v>502</v>
      </c>
      <c r="J267" s="19" t="s">
        <v>110</v>
      </c>
      <c r="K267" s="19" t="b">
        <v>0</v>
      </c>
      <c r="L267" s="15">
        <v>2018</v>
      </c>
      <c r="M267" s="16">
        <v>261</v>
      </c>
      <c r="N267" s="20">
        <v>41453</v>
      </c>
      <c r="O267" s="20">
        <v>41453</v>
      </c>
    </row>
    <row r="268" spans="1:15" ht="14.25">
      <c r="A268" s="17">
        <v>2013</v>
      </c>
      <c r="B268" s="18" t="s">
        <v>482</v>
      </c>
      <c r="C268" s="18" t="s">
        <v>483</v>
      </c>
      <c r="D268" s="19">
        <v>3021062</v>
      </c>
      <c r="E268" s="19">
        <v>2</v>
      </c>
      <c r="F268" s="19"/>
      <c r="G268" s="19">
        <v>10</v>
      </c>
      <c r="H268" s="19">
        <v>1</v>
      </c>
      <c r="I268" s="19" t="s">
        <v>485</v>
      </c>
      <c r="J268" s="19" t="s">
        <v>26</v>
      </c>
      <c r="K268" s="19" t="b">
        <v>1</v>
      </c>
      <c r="L268" s="15">
        <v>2018</v>
      </c>
      <c r="M268" s="16">
        <v>21900000</v>
      </c>
      <c r="N268" s="20">
        <v>41453</v>
      </c>
      <c r="O268" s="20">
        <v>41453</v>
      </c>
    </row>
    <row r="269" spans="1:15" ht="14.25">
      <c r="A269" s="17">
        <v>2013</v>
      </c>
      <c r="B269" s="18" t="s">
        <v>482</v>
      </c>
      <c r="C269" s="18" t="s">
        <v>483</v>
      </c>
      <c r="D269" s="19">
        <v>3021062</v>
      </c>
      <c r="E269" s="19">
        <v>2</v>
      </c>
      <c r="F269" s="19"/>
      <c r="G269" s="19">
        <v>470</v>
      </c>
      <c r="H269" s="19">
        <v>9.3</v>
      </c>
      <c r="I269" s="19" t="s">
        <v>486</v>
      </c>
      <c r="J269" s="19" t="s">
        <v>495</v>
      </c>
      <c r="K269" s="19" t="b">
        <v>1</v>
      </c>
      <c r="L269" s="15">
        <v>2024</v>
      </c>
      <c r="M269" s="16">
        <v>0.019</v>
      </c>
      <c r="N269" s="20">
        <v>41453</v>
      </c>
      <c r="O269" s="20">
        <v>41453</v>
      </c>
    </row>
    <row r="270" spans="1:15" ht="14.25">
      <c r="A270" s="17">
        <v>2013</v>
      </c>
      <c r="B270" s="18" t="s">
        <v>482</v>
      </c>
      <c r="C270" s="18" t="s">
        <v>483</v>
      </c>
      <c r="D270" s="19">
        <v>3021062</v>
      </c>
      <c r="E270" s="19">
        <v>2</v>
      </c>
      <c r="F270" s="19"/>
      <c r="G270" s="19">
        <v>450</v>
      </c>
      <c r="H270" s="19">
        <v>9.1</v>
      </c>
      <c r="I270" s="19" t="s">
        <v>486</v>
      </c>
      <c r="J270" s="19" t="s">
        <v>98</v>
      </c>
      <c r="K270" s="19" t="b">
        <v>1</v>
      </c>
      <c r="L270" s="15">
        <v>2014</v>
      </c>
      <c r="M270" s="16">
        <v>0.0626</v>
      </c>
      <c r="N270" s="20">
        <v>41453</v>
      </c>
      <c r="O270" s="20">
        <v>41453</v>
      </c>
    </row>
    <row r="271" spans="1:15" ht="14.25">
      <c r="A271" s="17">
        <v>2013</v>
      </c>
      <c r="B271" s="18" t="s">
        <v>482</v>
      </c>
      <c r="C271" s="18" t="s">
        <v>483</v>
      </c>
      <c r="D271" s="19">
        <v>3021062</v>
      </c>
      <c r="E271" s="19">
        <v>2</v>
      </c>
      <c r="F271" s="19"/>
      <c r="G271" s="19">
        <v>550</v>
      </c>
      <c r="H271" s="19">
        <v>10</v>
      </c>
      <c r="I271" s="19"/>
      <c r="J271" s="19" t="s">
        <v>111</v>
      </c>
      <c r="K271" s="19" t="b">
        <v>0</v>
      </c>
      <c r="L271" s="15">
        <v>2015</v>
      </c>
      <c r="M271" s="16">
        <v>374035</v>
      </c>
      <c r="N271" s="20">
        <v>41453</v>
      </c>
      <c r="O271" s="20">
        <v>41453</v>
      </c>
    </row>
    <row r="272" spans="1:15" ht="14.25">
      <c r="A272" s="17">
        <v>2013</v>
      </c>
      <c r="B272" s="18" t="s">
        <v>482</v>
      </c>
      <c r="C272" s="18" t="s">
        <v>483</v>
      </c>
      <c r="D272" s="19">
        <v>3021062</v>
      </c>
      <c r="E272" s="19">
        <v>2</v>
      </c>
      <c r="F272" s="19"/>
      <c r="G272" s="19">
        <v>430</v>
      </c>
      <c r="H272" s="19">
        <v>8.2</v>
      </c>
      <c r="I272" s="19" t="s">
        <v>490</v>
      </c>
      <c r="J272" s="19" t="s">
        <v>97</v>
      </c>
      <c r="K272" s="19" t="b">
        <v>0</v>
      </c>
      <c r="L272" s="15">
        <v>2017</v>
      </c>
      <c r="M272" s="16">
        <v>1770000</v>
      </c>
      <c r="N272" s="20">
        <v>41453</v>
      </c>
      <c r="O272" s="20">
        <v>41453</v>
      </c>
    </row>
    <row r="273" spans="1:15" ht="14.25">
      <c r="A273" s="17">
        <v>2013</v>
      </c>
      <c r="B273" s="18" t="s">
        <v>482</v>
      </c>
      <c r="C273" s="18" t="s">
        <v>483</v>
      </c>
      <c r="D273" s="19">
        <v>3021062</v>
      </c>
      <c r="E273" s="19">
        <v>2</v>
      </c>
      <c r="F273" s="19"/>
      <c r="G273" s="19">
        <v>430</v>
      </c>
      <c r="H273" s="19">
        <v>8.2</v>
      </c>
      <c r="I273" s="19" t="s">
        <v>490</v>
      </c>
      <c r="J273" s="19" t="s">
        <v>97</v>
      </c>
      <c r="K273" s="19" t="b">
        <v>0</v>
      </c>
      <c r="L273" s="15">
        <v>2013</v>
      </c>
      <c r="M273" s="16">
        <v>496466</v>
      </c>
      <c r="N273" s="20">
        <v>41453</v>
      </c>
      <c r="O273" s="20">
        <v>41453</v>
      </c>
    </row>
    <row r="274" spans="1:15" ht="14.25">
      <c r="A274" s="17">
        <v>2013</v>
      </c>
      <c r="B274" s="18" t="s">
        <v>482</v>
      </c>
      <c r="C274" s="18" t="s">
        <v>483</v>
      </c>
      <c r="D274" s="19">
        <v>3021062</v>
      </c>
      <c r="E274" s="19">
        <v>2</v>
      </c>
      <c r="F274" s="19"/>
      <c r="G274" s="19">
        <v>530</v>
      </c>
      <c r="H274" s="19">
        <v>9.8</v>
      </c>
      <c r="I274" s="19" t="s">
        <v>494</v>
      </c>
      <c r="J274" s="19" t="s">
        <v>108</v>
      </c>
      <c r="K274" s="19" t="b">
        <v>0</v>
      </c>
      <c r="L274" s="15">
        <v>2020</v>
      </c>
      <c r="M274" s="16">
        <v>594</v>
      </c>
      <c r="N274" s="20">
        <v>41453</v>
      </c>
      <c r="O274" s="20">
        <v>41453</v>
      </c>
    </row>
    <row r="275" spans="1:15" ht="14.25">
      <c r="A275" s="17">
        <v>2013</v>
      </c>
      <c r="B275" s="18" t="s">
        <v>482</v>
      </c>
      <c r="C275" s="18" t="s">
        <v>483</v>
      </c>
      <c r="D275" s="19">
        <v>3021062</v>
      </c>
      <c r="E275" s="19">
        <v>2</v>
      </c>
      <c r="F275" s="19"/>
      <c r="G275" s="19">
        <v>90</v>
      </c>
      <c r="H275" s="19">
        <v>1.2</v>
      </c>
      <c r="I275" s="19"/>
      <c r="J275" s="19" t="s">
        <v>56</v>
      </c>
      <c r="K275" s="19" t="b">
        <v>1</v>
      </c>
      <c r="L275" s="15">
        <v>2013</v>
      </c>
      <c r="M275" s="16">
        <v>2718733</v>
      </c>
      <c r="N275" s="20">
        <v>41453</v>
      </c>
      <c r="O275" s="20">
        <v>41453</v>
      </c>
    </row>
    <row r="276" spans="1:15" ht="14.25">
      <c r="A276" s="17">
        <v>2013</v>
      </c>
      <c r="B276" s="18" t="s">
        <v>482</v>
      </c>
      <c r="C276" s="18" t="s">
        <v>483</v>
      </c>
      <c r="D276" s="19">
        <v>3021062</v>
      </c>
      <c r="E276" s="19">
        <v>2</v>
      </c>
      <c r="F276" s="19"/>
      <c r="G276" s="19">
        <v>120</v>
      </c>
      <c r="H276" s="19">
        <v>2</v>
      </c>
      <c r="I276" s="19" t="s">
        <v>492</v>
      </c>
      <c r="J276" s="19" t="s">
        <v>21</v>
      </c>
      <c r="K276" s="19" t="b">
        <v>0</v>
      </c>
      <c r="L276" s="15">
        <v>2020</v>
      </c>
      <c r="M276" s="16">
        <v>22418449</v>
      </c>
      <c r="N276" s="20">
        <v>41453</v>
      </c>
      <c r="O276" s="20">
        <v>41453</v>
      </c>
    </row>
    <row r="277" spans="1:15" ht="14.25">
      <c r="A277" s="17">
        <v>2013</v>
      </c>
      <c r="B277" s="18" t="s">
        <v>482</v>
      </c>
      <c r="C277" s="18" t="s">
        <v>483</v>
      </c>
      <c r="D277" s="19">
        <v>3021062</v>
      </c>
      <c r="E277" s="19">
        <v>2</v>
      </c>
      <c r="F277" s="19"/>
      <c r="G277" s="19">
        <v>590</v>
      </c>
      <c r="H277" s="19">
        <v>11.2</v>
      </c>
      <c r="I277" s="19"/>
      <c r="J277" s="19" t="s">
        <v>115</v>
      </c>
      <c r="K277" s="19" t="b">
        <v>1</v>
      </c>
      <c r="L277" s="15">
        <v>2016</v>
      </c>
      <c r="M277" s="16">
        <v>1793000</v>
      </c>
      <c r="N277" s="20">
        <v>41453</v>
      </c>
      <c r="O277" s="20">
        <v>41453</v>
      </c>
    </row>
    <row r="278" spans="1:15" ht="14.25">
      <c r="A278" s="17">
        <v>2013</v>
      </c>
      <c r="B278" s="18" t="s">
        <v>482</v>
      </c>
      <c r="C278" s="18" t="s">
        <v>483</v>
      </c>
      <c r="D278" s="19">
        <v>3021062</v>
      </c>
      <c r="E278" s="19">
        <v>2</v>
      </c>
      <c r="F278" s="19"/>
      <c r="G278" s="19">
        <v>480</v>
      </c>
      <c r="H278" s="19">
        <v>9.4</v>
      </c>
      <c r="I278" s="19" t="s">
        <v>484</v>
      </c>
      <c r="J278" s="19" t="s">
        <v>100</v>
      </c>
      <c r="K278" s="19" t="b">
        <v>0</v>
      </c>
      <c r="L278" s="15">
        <v>2017</v>
      </c>
      <c r="M278" s="16">
        <v>0.0563</v>
      </c>
      <c r="N278" s="20">
        <v>41453</v>
      </c>
      <c r="O278" s="20">
        <v>41453</v>
      </c>
    </row>
    <row r="279" spans="1:15" ht="14.25">
      <c r="A279" s="17">
        <v>2013</v>
      </c>
      <c r="B279" s="18" t="s">
        <v>482</v>
      </c>
      <c r="C279" s="18" t="s">
        <v>483</v>
      </c>
      <c r="D279" s="19">
        <v>3021062</v>
      </c>
      <c r="E279" s="19">
        <v>2</v>
      </c>
      <c r="F279" s="19"/>
      <c r="G279" s="19">
        <v>100</v>
      </c>
      <c r="H279" s="19" t="s">
        <v>57</v>
      </c>
      <c r="I279" s="19"/>
      <c r="J279" s="19" t="s">
        <v>58</v>
      </c>
      <c r="K279" s="19" t="b">
        <v>1</v>
      </c>
      <c r="L279" s="15">
        <v>2013</v>
      </c>
      <c r="M279" s="16">
        <v>1443196</v>
      </c>
      <c r="N279" s="20">
        <v>41453</v>
      </c>
      <c r="O279" s="20">
        <v>41453</v>
      </c>
    </row>
    <row r="280" spans="1:15" ht="14.25">
      <c r="A280" s="17">
        <v>2013</v>
      </c>
      <c r="B280" s="18" t="s">
        <v>482</v>
      </c>
      <c r="C280" s="18" t="s">
        <v>483</v>
      </c>
      <c r="D280" s="19">
        <v>3021062</v>
      </c>
      <c r="E280" s="19">
        <v>2</v>
      </c>
      <c r="F280" s="19"/>
      <c r="G280" s="19">
        <v>500</v>
      </c>
      <c r="H280" s="19">
        <v>9.6</v>
      </c>
      <c r="I280" s="19" t="s">
        <v>498</v>
      </c>
      <c r="J280" s="19" t="s">
        <v>102</v>
      </c>
      <c r="K280" s="19" t="b">
        <v>0</v>
      </c>
      <c r="L280" s="15">
        <v>2017</v>
      </c>
      <c r="M280" s="16">
        <v>0.0563</v>
      </c>
      <c r="N280" s="20">
        <v>41453</v>
      </c>
      <c r="O280" s="20">
        <v>41453</v>
      </c>
    </row>
    <row r="281" spans="1:15" ht="14.25">
      <c r="A281" s="17">
        <v>2013</v>
      </c>
      <c r="B281" s="18" t="s">
        <v>482</v>
      </c>
      <c r="C281" s="18" t="s">
        <v>483</v>
      </c>
      <c r="D281" s="19">
        <v>3021062</v>
      </c>
      <c r="E281" s="19">
        <v>2</v>
      </c>
      <c r="F281" s="19"/>
      <c r="G281" s="19">
        <v>180</v>
      </c>
      <c r="H281" s="19" t="s">
        <v>70</v>
      </c>
      <c r="I281" s="19"/>
      <c r="J281" s="19" t="s">
        <v>71</v>
      </c>
      <c r="K281" s="19" t="b">
        <v>0</v>
      </c>
      <c r="L281" s="15">
        <v>2014</v>
      </c>
      <c r="M281" s="16">
        <v>407000</v>
      </c>
      <c r="N281" s="20">
        <v>41453</v>
      </c>
      <c r="O281" s="20">
        <v>41453</v>
      </c>
    </row>
    <row r="282" spans="1:15" ht="14.25">
      <c r="A282" s="17">
        <v>2013</v>
      </c>
      <c r="B282" s="18" t="s">
        <v>482</v>
      </c>
      <c r="C282" s="18" t="s">
        <v>483</v>
      </c>
      <c r="D282" s="19">
        <v>3021062</v>
      </c>
      <c r="E282" s="19">
        <v>2</v>
      </c>
      <c r="F282" s="19"/>
      <c r="G282" s="19">
        <v>580</v>
      </c>
      <c r="H282" s="19">
        <v>11.1</v>
      </c>
      <c r="I282" s="19"/>
      <c r="J282" s="19" t="s">
        <v>114</v>
      </c>
      <c r="K282" s="19" t="b">
        <v>0</v>
      </c>
      <c r="L282" s="15">
        <v>2016</v>
      </c>
      <c r="M282" s="16">
        <v>8179000</v>
      </c>
      <c r="N282" s="20">
        <v>41453</v>
      </c>
      <c r="O282" s="20">
        <v>41453</v>
      </c>
    </row>
    <row r="283" spans="1:15" ht="14.25">
      <c r="A283" s="17">
        <v>2013</v>
      </c>
      <c r="B283" s="18" t="s">
        <v>482</v>
      </c>
      <c r="C283" s="18" t="s">
        <v>483</v>
      </c>
      <c r="D283" s="19">
        <v>3021062</v>
      </c>
      <c r="E283" s="19">
        <v>2</v>
      </c>
      <c r="F283" s="19"/>
      <c r="G283" s="19">
        <v>200</v>
      </c>
      <c r="H283" s="19">
        <v>3</v>
      </c>
      <c r="I283" s="19" t="s">
        <v>488</v>
      </c>
      <c r="J283" s="19" t="s">
        <v>23</v>
      </c>
      <c r="K283" s="19" t="b">
        <v>0</v>
      </c>
      <c r="L283" s="15">
        <v>2017</v>
      </c>
      <c r="M283" s="16">
        <v>915135</v>
      </c>
      <c r="N283" s="20">
        <v>41453</v>
      </c>
      <c r="O283" s="20">
        <v>41453</v>
      </c>
    </row>
    <row r="284" spans="1:15" ht="14.25">
      <c r="A284" s="17">
        <v>2013</v>
      </c>
      <c r="B284" s="18" t="s">
        <v>482</v>
      </c>
      <c r="C284" s="18" t="s">
        <v>483</v>
      </c>
      <c r="D284" s="19">
        <v>3021062</v>
      </c>
      <c r="E284" s="19">
        <v>2</v>
      </c>
      <c r="F284" s="19"/>
      <c r="G284" s="19">
        <v>680</v>
      </c>
      <c r="H284" s="19" t="s">
        <v>126</v>
      </c>
      <c r="I284" s="19"/>
      <c r="J284" s="19" t="s">
        <v>127</v>
      </c>
      <c r="K284" s="19" t="b">
        <v>1</v>
      </c>
      <c r="L284" s="15">
        <v>2013</v>
      </c>
      <c r="M284" s="16">
        <v>188408.32</v>
      </c>
      <c r="N284" s="20">
        <v>41453</v>
      </c>
      <c r="O284" s="20">
        <v>41453</v>
      </c>
    </row>
    <row r="285" spans="1:15" ht="14.25">
      <c r="A285" s="17">
        <v>2013</v>
      </c>
      <c r="B285" s="18" t="s">
        <v>482</v>
      </c>
      <c r="C285" s="18" t="s">
        <v>483</v>
      </c>
      <c r="D285" s="19">
        <v>3021062</v>
      </c>
      <c r="E285" s="19">
        <v>2</v>
      </c>
      <c r="F285" s="19"/>
      <c r="G285" s="19">
        <v>90</v>
      </c>
      <c r="H285" s="19">
        <v>1.2</v>
      </c>
      <c r="I285" s="19"/>
      <c r="J285" s="19" t="s">
        <v>56</v>
      </c>
      <c r="K285" s="19" t="b">
        <v>1</v>
      </c>
      <c r="L285" s="15">
        <v>2015</v>
      </c>
      <c r="M285" s="16">
        <v>879000</v>
      </c>
      <c r="N285" s="20">
        <v>41453</v>
      </c>
      <c r="O285" s="20">
        <v>41453</v>
      </c>
    </row>
    <row r="286" spans="1:15" ht="14.25">
      <c r="A286" s="17">
        <v>2013</v>
      </c>
      <c r="B286" s="18" t="s">
        <v>482</v>
      </c>
      <c r="C286" s="18" t="s">
        <v>483</v>
      </c>
      <c r="D286" s="19">
        <v>3021062</v>
      </c>
      <c r="E286" s="19">
        <v>2</v>
      </c>
      <c r="F286" s="19"/>
      <c r="G286" s="19">
        <v>170</v>
      </c>
      <c r="H286" s="19" t="s">
        <v>68</v>
      </c>
      <c r="I286" s="19"/>
      <c r="J286" s="19" t="s">
        <v>69</v>
      </c>
      <c r="K286" s="19" t="b">
        <v>1</v>
      </c>
      <c r="L286" s="15">
        <v>2016</v>
      </c>
      <c r="M286" s="16">
        <v>326000</v>
      </c>
      <c r="N286" s="20">
        <v>41453</v>
      </c>
      <c r="O286" s="20">
        <v>41453</v>
      </c>
    </row>
    <row r="287" spans="1:15" ht="14.25">
      <c r="A287" s="17">
        <v>2013</v>
      </c>
      <c r="B287" s="18" t="s">
        <v>482</v>
      </c>
      <c r="C287" s="18" t="s">
        <v>483</v>
      </c>
      <c r="D287" s="19">
        <v>3021062</v>
      </c>
      <c r="E287" s="19">
        <v>2</v>
      </c>
      <c r="F287" s="19"/>
      <c r="G287" s="19">
        <v>210</v>
      </c>
      <c r="H287" s="19">
        <v>4</v>
      </c>
      <c r="I287" s="19" t="s">
        <v>501</v>
      </c>
      <c r="J287" s="19" t="s">
        <v>24</v>
      </c>
      <c r="K287" s="19" t="b">
        <v>0</v>
      </c>
      <c r="L287" s="15">
        <v>2014</v>
      </c>
      <c r="M287" s="16">
        <v>800100</v>
      </c>
      <c r="N287" s="20">
        <v>41453</v>
      </c>
      <c r="O287" s="20">
        <v>41453</v>
      </c>
    </row>
    <row r="288" spans="1:15" ht="14.25">
      <c r="A288" s="17">
        <v>2013</v>
      </c>
      <c r="B288" s="18" t="s">
        <v>482</v>
      </c>
      <c r="C288" s="18" t="s">
        <v>483</v>
      </c>
      <c r="D288" s="19">
        <v>3021062</v>
      </c>
      <c r="E288" s="19">
        <v>2</v>
      </c>
      <c r="F288" s="19"/>
      <c r="G288" s="19">
        <v>710</v>
      </c>
      <c r="H288" s="19" t="s">
        <v>131</v>
      </c>
      <c r="I288" s="19"/>
      <c r="J288" s="19" t="s">
        <v>132</v>
      </c>
      <c r="K288" s="19" t="b">
        <v>0</v>
      </c>
      <c r="L288" s="15">
        <v>2013</v>
      </c>
      <c r="M288" s="16">
        <v>1132274</v>
      </c>
      <c r="N288" s="20">
        <v>41453</v>
      </c>
      <c r="O288" s="20">
        <v>41453</v>
      </c>
    </row>
    <row r="289" spans="1:15" ht="14.25">
      <c r="A289" s="17">
        <v>2013</v>
      </c>
      <c r="B289" s="18" t="s">
        <v>482</v>
      </c>
      <c r="C289" s="18" t="s">
        <v>483</v>
      </c>
      <c r="D289" s="19">
        <v>3021062</v>
      </c>
      <c r="E289" s="19">
        <v>2</v>
      </c>
      <c r="F289" s="19"/>
      <c r="G289" s="19">
        <v>180</v>
      </c>
      <c r="H289" s="19" t="s">
        <v>70</v>
      </c>
      <c r="I289" s="19"/>
      <c r="J289" s="19" t="s">
        <v>71</v>
      </c>
      <c r="K289" s="19" t="b">
        <v>0</v>
      </c>
      <c r="L289" s="15">
        <v>2018</v>
      </c>
      <c r="M289" s="16">
        <v>244000</v>
      </c>
      <c r="N289" s="20">
        <v>41453</v>
      </c>
      <c r="O289" s="20">
        <v>41453</v>
      </c>
    </row>
    <row r="290" spans="1:15" ht="14.25">
      <c r="A290" s="17">
        <v>2013</v>
      </c>
      <c r="B290" s="18" t="s">
        <v>482</v>
      </c>
      <c r="C290" s="18" t="s">
        <v>483</v>
      </c>
      <c r="D290" s="19">
        <v>3021062</v>
      </c>
      <c r="E290" s="19">
        <v>2</v>
      </c>
      <c r="F290" s="19"/>
      <c r="G290" s="19">
        <v>20</v>
      </c>
      <c r="H290" s="19">
        <v>1.1</v>
      </c>
      <c r="I290" s="19"/>
      <c r="J290" s="19" t="s">
        <v>43</v>
      </c>
      <c r="K290" s="19" t="b">
        <v>1</v>
      </c>
      <c r="L290" s="15">
        <v>2019</v>
      </c>
      <c r="M290" s="16">
        <v>22500000</v>
      </c>
      <c r="N290" s="20">
        <v>41453</v>
      </c>
      <c r="O290" s="20">
        <v>41453</v>
      </c>
    </row>
    <row r="291" spans="1:15" ht="14.25">
      <c r="A291" s="17">
        <v>2013</v>
      </c>
      <c r="B291" s="18" t="s">
        <v>482</v>
      </c>
      <c r="C291" s="18" t="s">
        <v>483</v>
      </c>
      <c r="D291" s="19">
        <v>3021062</v>
      </c>
      <c r="E291" s="19">
        <v>2</v>
      </c>
      <c r="F291" s="19"/>
      <c r="G291" s="19">
        <v>310</v>
      </c>
      <c r="H291" s="19">
        <v>5.1</v>
      </c>
      <c r="I291" s="19"/>
      <c r="J291" s="19" t="s">
        <v>84</v>
      </c>
      <c r="K291" s="19" t="b">
        <v>1</v>
      </c>
      <c r="L291" s="15">
        <v>2020</v>
      </c>
      <c r="M291" s="16">
        <v>581551</v>
      </c>
      <c r="N291" s="20">
        <v>41453</v>
      </c>
      <c r="O291" s="20">
        <v>41453</v>
      </c>
    </row>
    <row r="292" spans="1:15" ht="14.25">
      <c r="A292" s="17">
        <v>2013</v>
      </c>
      <c r="B292" s="18" t="s">
        <v>482</v>
      </c>
      <c r="C292" s="18" t="s">
        <v>483</v>
      </c>
      <c r="D292" s="19">
        <v>3021062</v>
      </c>
      <c r="E292" s="19">
        <v>2</v>
      </c>
      <c r="F292" s="19"/>
      <c r="G292" s="19">
        <v>430</v>
      </c>
      <c r="H292" s="19">
        <v>8.2</v>
      </c>
      <c r="I292" s="19" t="s">
        <v>490</v>
      </c>
      <c r="J292" s="19" t="s">
        <v>97</v>
      </c>
      <c r="K292" s="19" t="b">
        <v>0</v>
      </c>
      <c r="L292" s="15">
        <v>2018</v>
      </c>
      <c r="M292" s="16">
        <v>2016000</v>
      </c>
      <c r="N292" s="20">
        <v>41453</v>
      </c>
      <c r="O292" s="20">
        <v>41453</v>
      </c>
    </row>
    <row r="293" spans="1:15" ht="14.25">
      <c r="A293" s="17">
        <v>2013</v>
      </c>
      <c r="B293" s="18" t="s">
        <v>482</v>
      </c>
      <c r="C293" s="18" t="s">
        <v>483</v>
      </c>
      <c r="D293" s="19">
        <v>3021062</v>
      </c>
      <c r="E293" s="19">
        <v>2</v>
      </c>
      <c r="F293" s="19"/>
      <c r="G293" s="19">
        <v>530</v>
      </c>
      <c r="H293" s="19">
        <v>9.8</v>
      </c>
      <c r="I293" s="19" t="s">
        <v>494</v>
      </c>
      <c r="J293" s="19" t="s">
        <v>108</v>
      </c>
      <c r="K293" s="19" t="b">
        <v>0</v>
      </c>
      <c r="L293" s="15">
        <v>2023</v>
      </c>
      <c r="M293" s="16">
        <v>850</v>
      </c>
      <c r="N293" s="20">
        <v>41453</v>
      </c>
      <c r="O293" s="20">
        <v>41453</v>
      </c>
    </row>
    <row r="294" spans="1:15" ht="14.25">
      <c r="A294" s="17">
        <v>2013</v>
      </c>
      <c r="B294" s="18" t="s">
        <v>482</v>
      </c>
      <c r="C294" s="18" t="s">
        <v>483</v>
      </c>
      <c r="D294" s="19">
        <v>3021062</v>
      </c>
      <c r="E294" s="19">
        <v>2</v>
      </c>
      <c r="F294" s="19"/>
      <c r="G294" s="19">
        <v>420</v>
      </c>
      <c r="H294" s="19">
        <v>8.1</v>
      </c>
      <c r="I294" s="19" t="s">
        <v>487</v>
      </c>
      <c r="J294" s="19" t="s">
        <v>96</v>
      </c>
      <c r="K294" s="19" t="b">
        <v>0</v>
      </c>
      <c r="L294" s="15">
        <v>2022</v>
      </c>
      <c r="M294" s="16">
        <v>2983000</v>
      </c>
      <c r="N294" s="20">
        <v>41453</v>
      </c>
      <c r="O294" s="20">
        <v>41453</v>
      </c>
    </row>
    <row r="295" spans="1:15" ht="14.25">
      <c r="A295" s="17">
        <v>2013</v>
      </c>
      <c r="B295" s="18" t="s">
        <v>482</v>
      </c>
      <c r="C295" s="18" t="s">
        <v>483</v>
      </c>
      <c r="D295" s="19">
        <v>3021062</v>
      </c>
      <c r="E295" s="19">
        <v>2</v>
      </c>
      <c r="F295" s="19"/>
      <c r="G295" s="19">
        <v>190</v>
      </c>
      <c r="H295" s="19">
        <v>2.2</v>
      </c>
      <c r="I295" s="19"/>
      <c r="J295" s="19" t="s">
        <v>72</v>
      </c>
      <c r="K295" s="19" t="b">
        <v>0</v>
      </c>
      <c r="L295" s="15">
        <v>2017</v>
      </c>
      <c r="M295" s="16">
        <v>854865</v>
      </c>
      <c r="N295" s="20">
        <v>41453</v>
      </c>
      <c r="O295" s="20">
        <v>41453</v>
      </c>
    </row>
    <row r="296" spans="1:15" ht="14.25">
      <c r="A296" s="17">
        <v>2013</v>
      </c>
      <c r="B296" s="18" t="s">
        <v>482</v>
      </c>
      <c r="C296" s="18" t="s">
        <v>483</v>
      </c>
      <c r="D296" s="19">
        <v>3021062</v>
      </c>
      <c r="E296" s="19">
        <v>2</v>
      </c>
      <c r="F296" s="19"/>
      <c r="G296" s="19">
        <v>480</v>
      </c>
      <c r="H296" s="19">
        <v>9.4</v>
      </c>
      <c r="I296" s="19" t="s">
        <v>484</v>
      </c>
      <c r="J296" s="19" t="s">
        <v>100</v>
      </c>
      <c r="K296" s="19" t="b">
        <v>0</v>
      </c>
      <c r="L296" s="15">
        <v>2024</v>
      </c>
      <c r="M296" s="16">
        <v>0.019</v>
      </c>
      <c r="N296" s="20">
        <v>41453</v>
      </c>
      <c r="O296" s="20">
        <v>41453</v>
      </c>
    </row>
    <row r="297" spans="1:15" ht="14.25">
      <c r="A297" s="17">
        <v>2013</v>
      </c>
      <c r="B297" s="18" t="s">
        <v>482</v>
      </c>
      <c r="C297" s="18" t="s">
        <v>483</v>
      </c>
      <c r="D297" s="19">
        <v>3021062</v>
      </c>
      <c r="E297" s="19">
        <v>2</v>
      </c>
      <c r="F297" s="19"/>
      <c r="G297" s="19">
        <v>40</v>
      </c>
      <c r="H297" s="19" t="s">
        <v>46</v>
      </c>
      <c r="I297" s="19"/>
      <c r="J297" s="19" t="s">
        <v>47</v>
      </c>
      <c r="K297" s="19" t="b">
        <v>1</v>
      </c>
      <c r="L297" s="15">
        <v>2014</v>
      </c>
      <c r="M297" s="16">
        <v>80000</v>
      </c>
      <c r="N297" s="20">
        <v>41453</v>
      </c>
      <c r="O297" s="20">
        <v>41453</v>
      </c>
    </row>
    <row r="298" spans="1:15" ht="14.25">
      <c r="A298" s="17">
        <v>2013</v>
      </c>
      <c r="B298" s="18" t="s">
        <v>482</v>
      </c>
      <c r="C298" s="18" t="s">
        <v>483</v>
      </c>
      <c r="D298" s="19">
        <v>3021062</v>
      </c>
      <c r="E298" s="19">
        <v>2</v>
      </c>
      <c r="F298" s="19"/>
      <c r="G298" s="19">
        <v>530</v>
      </c>
      <c r="H298" s="19">
        <v>9.8</v>
      </c>
      <c r="I298" s="19" t="s">
        <v>494</v>
      </c>
      <c r="J298" s="19" t="s">
        <v>108</v>
      </c>
      <c r="K298" s="19" t="b">
        <v>0</v>
      </c>
      <c r="L298" s="15">
        <v>2014</v>
      </c>
      <c r="M298" s="16">
        <v>567</v>
      </c>
      <c r="N298" s="20">
        <v>41453</v>
      </c>
      <c r="O298" s="20">
        <v>41453</v>
      </c>
    </row>
    <row r="299" spans="1:15" ht="14.25">
      <c r="A299" s="17">
        <v>2013</v>
      </c>
      <c r="B299" s="18" t="s">
        <v>482</v>
      </c>
      <c r="C299" s="18" t="s">
        <v>483</v>
      </c>
      <c r="D299" s="19">
        <v>3021062</v>
      </c>
      <c r="E299" s="19">
        <v>2</v>
      </c>
      <c r="F299" s="19"/>
      <c r="G299" s="19">
        <v>170</v>
      </c>
      <c r="H299" s="19" t="s">
        <v>68</v>
      </c>
      <c r="I299" s="19"/>
      <c r="J299" s="19" t="s">
        <v>69</v>
      </c>
      <c r="K299" s="19" t="b">
        <v>1</v>
      </c>
      <c r="L299" s="15">
        <v>2017</v>
      </c>
      <c r="M299" s="16">
        <v>285000</v>
      </c>
      <c r="N299" s="20">
        <v>41453</v>
      </c>
      <c r="O299" s="20">
        <v>41453</v>
      </c>
    </row>
    <row r="300" spans="1:15" ht="14.25">
      <c r="A300" s="17">
        <v>2013</v>
      </c>
      <c r="B300" s="18" t="s">
        <v>482</v>
      </c>
      <c r="C300" s="18" t="s">
        <v>483</v>
      </c>
      <c r="D300" s="19">
        <v>3021062</v>
      </c>
      <c r="E300" s="19">
        <v>2</v>
      </c>
      <c r="F300" s="19"/>
      <c r="G300" s="19">
        <v>420</v>
      </c>
      <c r="H300" s="19">
        <v>8.1</v>
      </c>
      <c r="I300" s="19" t="s">
        <v>487</v>
      </c>
      <c r="J300" s="19" t="s">
        <v>96</v>
      </c>
      <c r="K300" s="19" t="b">
        <v>0</v>
      </c>
      <c r="L300" s="15">
        <v>2014</v>
      </c>
      <c r="M300" s="16">
        <v>693045</v>
      </c>
      <c r="N300" s="20">
        <v>41453</v>
      </c>
      <c r="O300" s="20">
        <v>41453</v>
      </c>
    </row>
    <row r="301" spans="1:15" ht="14.25">
      <c r="A301" s="17">
        <v>2013</v>
      </c>
      <c r="B301" s="18" t="s">
        <v>482</v>
      </c>
      <c r="C301" s="18" t="s">
        <v>483</v>
      </c>
      <c r="D301" s="19">
        <v>3021062</v>
      </c>
      <c r="E301" s="19">
        <v>2</v>
      </c>
      <c r="F301" s="19"/>
      <c r="G301" s="19">
        <v>580</v>
      </c>
      <c r="H301" s="19">
        <v>11.1</v>
      </c>
      <c r="I301" s="19"/>
      <c r="J301" s="19" t="s">
        <v>114</v>
      </c>
      <c r="K301" s="19" t="b">
        <v>0</v>
      </c>
      <c r="L301" s="15">
        <v>2013</v>
      </c>
      <c r="M301" s="16">
        <v>7698600.8</v>
      </c>
      <c r="N301" s="20">
        <v>41453</v>
      </c>
      <c r="O301" s="20">
        <v>41453</v>
      </c>
    </row>
    <row r="302" spans="1:15" ht="14.25">
      <c r="A302" s="17">
        <v>2013</v>
      </c>
      <c r="B302" s="18" t="s">
        <v>482</v>
      </c>
      <c r="C302" s="18" t="s">
        <v>483</v>
      </c>
      <c r="D302" s="19">
        <v>3021062</v>
      </c>
      <c r="E302" s="19">
        <v>2</v>
      </c>
      <c r="F302" s="19"/>
      <c r="G302" s="19">
        <v>430</v>
      </c>
      <c r="H302" s="19">
        <v>8.2</v>
      </c>
      <c r="I302" s="19" t="s">
        <v>490</v>
      </c>
      <c r="J302" s="19" t="s">
        <v>97</v>
      </c>
      <c r="K302" s="19" t="b">
        <v>0</v>
      </c>
      <c r="L302" s="15">
        <v>2020</v>
      </c>
      <c r="M302" s="16">
        <v>2400000</v>
      </c>
      <c r="N302" s="20">
        <v>41453</v>
      </c>
      <c r="O302" s="20">
        <v>41453</v>
      </c>
    </row>
    <row r="303" spans="1:15" ht="14.25">
      <c r="A303" s="17">
        <v>2013</v>
      </c>
      <c r="B303" s="18" t="s">
        <v>482</v>
      </c>
      <c r="C303" s="18" t="s">
        <v>483</v>
      </c>
      <c r="D303" s="19">
        <v>3021062</v>
      </c>
      <c r="E303" s="19">
        <v>2</v>
      </c>
      <c r="F303" s="19"/>
      <c r="G303" s="19">
        <v>520</v>
      </c>
      <c r="H303" s="19" t="s">
        <v>106</v>
      </c>
      <c r="I303" s="19"/>
      <c r="J303" s="19" t="s">
        <v>493</v>
      </c>
      <c r="K303" s="19" t="b">
        <v>1</v>
      </c>
      <c r="L303" s="15">
        <v>2019</v>
      </c>
      <c r="M303" s="16">
        <v>0.0825</v>
      </c>
      <c r="N303" s="20">
        <v>41453</v>
      </c>
      <c r="O303" s="20">
        <v>41453</v>
      </c>
    </row>
    <row r="304" spans="1:15" ht="14.25">
      <c r="A304" s="17">
        <v>2013</v>
      </c>
      <c r="B304" s="18" t="s">
        <v>482</v>
      </c>
      <c r="C304" s="18" t="s">
        <v>483</v>
      </c>
      <c r="D304" s="19">
        <v>3021062</v>
      </c>
      <c r="E304" s="19">
        <v>2</v>
      </c>
      <c r="F304" s="19"/>
      <c r="G304" s="19">
        <v>880</v>
      </c>
      <c r="H304" s="19">
        <v>14.1</v>
      </c>
      <c r="I304" s="19"/>
      <c r="J304" s="19" t="s">
        <v>154</v>
      </c>
      <c r="K304" s="19" t="b">
        <v>1</v>
      </c>
      <c r="L304" s="15">
        <v>2024</v>
      </c>
      <c r="M304" s="16">
        <v>239050</v>
      </c>
      <c r="N304" s="20">
        <v>41453</v>
      </c>
      <c r="O304" s="20">
        <v>41453</v>
      </c>
    </row>
    <row r="305" spans="1:15" ht="14.25">
      <c r="A305" s="17">
        <v>2013</v>
      </c>
      <c r="B305" s="18" t="s">
        <v>482</v>
      </c>
      <c r="C305" s="18" t="s">
        <v>483</v>
      </c>
      <c r="D305" s="19">
        <v>3021062</v>
      </c>
      <c r="E305" s="19">
        <v>2</v>
      </c>
      <c r="F305" s="19"/>
      <c r="G305" s="19">
        <v>420</v>
      </c>
      <c r="H305" s="19">
        <v>8.1</v>
      </c>
      <c r="I305" s="19" t="s">
        <v>487</v>
      </c>
      <c r="J305" s="19" t="s">
        <v>96</v>
      </c>
      <c r="K305" s="19" t="b">
        <v>0</v>
      </c>
      <c r="L305" s="15">
        <v>2024</v>
      </c>
      <c r="M305" s="16">
        <v>3574000</v>
      </c>
      <c r="N305" s="20">
        <v>41453</v>
      </c>
      <c r="O305" s="20">
        <v>41453</v>
      </c>
    </row>
    <row r="306" spans="1:15" ht="14.25">
      <c r="A306" s="17">
        <v>2013</v>
      </c>
      <c r="B306" s="18" t="s">
        <v>482</v>
      </c>
      <c r="C306" s="18" t="s">
        <v>483</v>
      </c>
      <c r="D306" s="19">
        <v>3021062</v>
      </c>
      <c r="E306" s="19">
        <v>2</v>
      </c>
      <c r="F306" s="19"/>
      <c r="G306" s="19">
        <v>310</v>
      </c>
      <c r="H306" s="19">
        <v>5.1</v>
      </c>
      <c r="I306" s="19"/>
      <c r="J306" s="19" t="s">
        <v>84</v>
      </c>
      <c r="K306" s="19" t="b">
        <v>1</v>
      </c>
      <c r="L306" s="15">
        <v>2013</v>
      </c>
      <c r="M306" s="16">
        <v>835135</v>
      </c>
      <c r="N306" s="20">
        <v>41453</v>
      </c>
      <c r="O306" s="20">
        <v>41453</v>
      </c>
    </row>
    <row r="307" spans="1:15" ht="14.25">
      <c r="A307" s="17">
        <v>2013</v>
      </c>
      <c r="B307" s="18" t="s">
        <v>482</v>
      </c>
      <c r="C307" s="18" t="s">
        <v>483</v>
      </c>
      <c r="D307" s="19">
        <v>3021062</v>
      </c>
      <c r="E307" s="19">
        <v>2</v>
      </c>
      <c r="F307" s="19"/>
      <c r="G307" s="19">
        <v>190</v>
      </c>
      <c r="H307" s="19">
        <v>2.2</v>
      </c>
      <c r="I307" s="19"/>
      <c r="J307" s="19" t="s">
        <v>72</v>
      </c>
      <c r="K307" s="19" t="b">
        <v>0</v>
      </c>
      <c r="L307" s="15">
        <v>2015</v>
      </c>
      <c r="M307" s="16">
        <v>1750990</v>
      </c>
      <c r="N307" s="20">
        <v>41453</v>
      </c>
      <c r="O307" s="20">
        <v>41453</v>
      </c>
    </row>
    <row r="308" spans="1:15" ht="14.25">
      <c r="A308" s="17">
        <v>2013</v>
      </c>
      <c r="B308" s="18" t="s">
        <v>482</v>
      </c>
      <c r="C308" s="18" t="s">
        <v>483</v>
      </c>
      <c r="D308" s="19">
        <v>3021062</v>
      </c>
      <c r="E308" s="19">
        <v>2</v>
      </c>
      <c r="F308" s="19"/>
      <c r="G308" s="19">
        <v>550</v>
      </c>
      <c r="H308" s="19">
        <v>10</v>
      </c>
      <c r="I308" s="19"/>
      <c r="J308" s="19" t="s">
        <v>111</v>
      </c>
      <c r="K308" s="19" t="b">
        <v>0</v>
      </c>
      <c r="L308" s="15">
        <v>2024</v>
      </c>
      <c r="M308" s="16">
        <v>454350</v>
      </c>
      <c r="N308" s="20">
        <v>41453</v>
      </c>
      <c r="O308" s="20">
        <v>41453</v>
      </c>
    </row>
    <row r="309" spans="1:15" ht="14.25">
      <c r="A309" s="17">
        <v>2013</v>
      </c>
      <c r="B309" s="18" t="s">
        <v>482</v>
      </c>
      <c r="C309" s="18" t="s">
        <v>483</v>
      </c>
      <c r="D309" s="19">
        <v>3021062</v>
      </c>
      <c r="E309" s="19">
        <v>2</v>
      </c>
      <c r="F309" s="19"/>
      <c r="G309" s="19">
        <v>470</v>
      </c>
      <c r="H309" s="19">
        <v>9.3</v>
      </c>
      <c r="I309" s="19" t="s">
        <v>486</v>
      </c>
      <c r="J309" s="19" t="s">
        <v>495</v>
      </c>
      <c r="K309" s="19" t="b">
        <v>1</v>
      </c>
      <c r="L309" s="15">
        <v>2020</v>
      </c>
      <c r="M309" s="16">
        <v>0.0324</v>
      </c>
      <c r="N309" s="20">
        <v>41453</v>
      </c>
      <c r="O309" s="20">
        <v>41453</v>
      </c>
    </row>
    <row r="310" spans="1:15" ht="14.25">
      <c r="A310" s="17">
        <v>2013</v>
      </c>
      <c r="B310" s="18" t="s">
        <v>482</v>
      </c>
      <c r="C310" s="18" t="s">
        <v>483</v>
      </c>
      <c r="D310" s="19">
        <v>3021062</v>
      </c>
      <c r="E310" s="19">
        <v>2</v>
      </c>
      <c r="F310" s="19"/>
      <c r="G310" s="19">
        <v>130</v>
      </c>
      <c r="H310" s="19">
        <v>2.1</v>
      </c>
      <c r="I310" s="19"/>
      <c r="J310" s="19" t="s">
        <v>61</v>
      </c>
      <c r="K310" s="19" t="b">
        <v>1</v>
      </c>
      <c r="L310" s="15">
        <v>2020</v>
      </c>
      <c r="M310" s="16">
        <v>20600000</v>
      </c>
      <c r="N310" s="20">
        <v>41453</v>
      </c>
      <c r="O310" s="20">
        <v>41453</v>
      </c>
    </row>
    <row r="311" spans="1:15" ht="14.25">
      <c r="A311" s="17">
        <v>2013</v>
      </c>
      <c r="B311" s="18" t="s">
        <v>482</v>
      </c>
      <c r="C311" s="18" t="s">
        <v>483</v>
      </c>
      <c r="D311" s="19">
        <v>3021062</v>
      </c>
      <c r="E311" s="19">
        <v>2</v>
      </c>
      <c r="F311" s="19"/>
      <c r="G311" s="19">
        <v>380</v>
      </c>
      <c r="H311" s="19">
        <v>6.2</v>
      </c>
      <c r="I311" s="19" t="s">
        <v>500</v>
      </c>
      <c r="J311" s="19" t="s">
        <v>93</v>
      </c>
      <c r="K311" s="19" t="b">
        <v>0</v>
      </c>
      <c r="L311" s="15">
        <v>2020</v>
      </c>
      <c r="M311" s="16">
        <v>0.1112</v>
      </c>
      <c r="N311" s="20">
        <v>41453</v>
      </c>
      <c r="O311" s="20">
        <v>41453</v>
      </c>
    </row>
    <row r="312" spans="1:15" ht="14.25">
      <c r="A312" s="17">
        <v>2013</v>
      </c>
      <c r="B312" s="18" t="s">
        <v>482</v>
      </c>
      <c r="C312" s="18" t="s">
        <v>483</v>
      </c>
      <c r="D312" s="19">
        <v>3021062</v>
      </c>
      <c r="E312" s="19">
        <v>2</v>
      </c>
      <c r="F312" s="19"/>
      <c r="G312" s="19">
        <v>560</v>
      </c>
      <c r="H312" s="19">
        <v>10.1</v>
      </c>
      <c r="I312" s="19"/>
      <c r="J312" s="19" t="s">
        <v>112</v>
      </c>
      <c r="K312" s="19" t="b">
        <v>0</v>
      </c>
      <c r="L312" s="15">
        <v>2019</v>
      </c>
      <c r="M312" s="16">
        <v>775551</v>
      </c>
      <c r="N312" s="20">
        <v>41453</v>
      </c>
      <c r="O312" s="20">
        <v>41453</v>
      </c>
    </row>
    <row r="313" spans="1:15" ht="14.25">
      <c r="A313" s="17">
        <v>2013</v>
      </c>
      <c r="B313" s="18" t="s">
        <v>482</v>
      </c>
      <c r="C313" s="18" t="s">
        <v>483</v>
      </c>
      <c r="D313" s="19">
        <v>3021062</v>
      </c>
      <c r="E313" s="19">
        <v>2</v>
      </c>
      <c r="F313" s="19"/>
      <c r="G313" s="19">
        <v>500</v>
      </c>
      <c r="H313" s="19">
        <v>9.6</v>
      </c>
      <c r="I313" s="19" t="s">
        <v>498</v>
      </c>
      <c r="J313" s="19" t="s">
        <v>102</v>
      </c>
      <c r="K313" s="19" t="b">
        <v>0</v>
      </c>
      <c r="L313" s="15">
        <v>2021</v>
      </c>
      <c r="M313" s="16">
        <v>0.0361</v>
      </c>
      <c r="N313" s="20">
        <v>41453</v>
      </c>
      <c r="O313" s="20">
        <v>41453</v>
      </c>
    </row>
    <row r="314" spans="1:15" ht="14.25">
      <c r="A314" s="17">
        <v>2013</v>
      </c>
      <c r="B314" s="18" t="s">
        <v>482</v>
      </c>
      <c r="C314" s="18" t="s">
        <v>483</v>
      </c>
      <c r="D314" s="19">
        <v>3021062</v>
      </c>
      <c r="E314" s="19">
        <v>2</v>
      </c>
      <c r="F314" s="19"/>
      <c r="G314" s="19">
        <v>640</v>
      </c>
      <c r="H314" s="19">
        <v>11.5</v>
      </c>
      <c r="I314" s="19"/>
      <c r="J314" s="19" t="s">
        <v>122</v>
      </c>
      <c r="K314" s="19" t="b">
        <v>1</v>
      </c>
      <c r="L314" s="15">
        <v>2015</v>
      </c>
      <c r="M314" s="16">
        <v>1750990</v>
      </c>
      <c r="N314" s="20">
        <v>41453</v>
      </c>
      <c r="O314" s="20">
        <v>41453</v>
      </c>
    </row>
    <row r="315" spans="1:15" ht="14.25">
      <c r="A315" s="17">
        <v>2013</v>
      </c>
      <c r="B315" s="18" t="s">
        <v>482</v>
      </c>
      <c r="C315" s="18" t="s">
        <v>483</v>
      </c>
      <c r="D315" s="19">
        <v>3021062</v>
      </c>
      <c r="E315" s="19">
        <v>2</v>
      </c>
      <c r="F315" s="19"/>
      <c r="G315" s="19">
        <v>350</v>
      </c>
      <c r="H315" s="19">
        <v>6</v>
      </c>
      <c r="I315" s="19"/>
      <c r="J315" s="19" t="s">
        <v>27</v>
      </c>
      <c r="K315" s="19" t="b">
        <v>1</v>
      </c>
      <c r="L315" s="15">
        <v>2018</v>
      </c>
      <c r="M315" s="16">
        <v>3914605</v>
      </c>
      <c r="N315" s="20">
        <v>41453</v>
      </c>
      <c r="O315" s="20">
        <v>41453</v>
      </c>
    </row>
    <row r="316" spans="1:15" ht="14.25">
      <c r="A316" s="17">
        <v>2013</v>
      </c>
      <c r="B316" s="18" t="s">
        <v>482</v>
      </c>
      <c r="C316" s="18" t="s">
        <v>483</v>
      </c>
      <c r="D316" s="19">
        <v>3021062</v>
      </c>
      <c r="E316" s="19">
        <v>2</v>
      </c>
      <c r="F316" s="19"/>
      <c r="G316" s="19">
        <v>420</v>
      </c>
      <c r="H316" s="19">
        <v>8.1</v>
      </c>
      <c r="I316" s="19" t="s">
        <v>487</v>
      </c>
      <c r="J316" s="19" t="s">
        <v>96</v>
      </c>
      <c r="K316" s="19" t="b">
        <v>0</v>
      </c>
      <c r="L316" s="15">
        <v>2017</v>
      </c>
      <c r="M316" s="16">
        <v>1770000</v>
      </c>
      <c r="N316" s="20">
        <v>41453</v>
      </c>
      <c r="O316" s="20">
        <v>41453</v>
      </c>
    </row>
    <row r="317" spans="1:15" ht="14.25">
      <c r="A317" s="17">
        <v>2013</v>
      </c>
      <c r="B317" s="18" t="s">
        <v>482</v>
      </c>
      <c r="C317" s="18" t="s">
        <v>483</v>
      </c>
      <c r="D317" s="19">
        <v>3021062</v>
      </c>
      <c r="E317" s="19">
        <v>2</v>
      </c>
      <c r="F317" s="19"/>
      <c r="G317" s="19">
        <v>380</v>
      </c>
      <c r="H317" s="19">
        <v>6.2</v>
      </c>
      <c r="I317" s="19" t="s">
        <v>500</v>
      </c>
      <c r="J317" s="19" t="s">
        <v>93</v>
      </c>
      <c r="K317" s="19" t="b">
        <v>0</v>
      </c>
      <c r="L317" s="15">
        <v>2016</v>
      </c>
      <c r="M317" s="16">
        <v>0.2751</v>
      </c>
      <c r="N317" s="20">
        <v>41453</v>
      </c>
      <c r="O317" s="20">
        <v>41453</v>
      </c>
    </row>
    <row r="318" spans="1:15" ht="14.25">
      <c r="A318" s="17">
        <v>2013</v>
      </c>
      <c r="B318" s="18" t="s">
        <v>482</v>
      </c>
      <c r="C318" s="18" t="s">
        <v>483</v>
      </c>
      <c r="D318" s="19">
        <v>3021062</v>
      </c>
      <c r="E318" s="19">
        <v>2</v>
      </c>
      <c r="F318" s="19"/>
      <c r="G318" s="19">
        <v>470</v>
      </c>
      <c r="H318" s="19">
        <v>9.3</v>
      </c>
      <c r="I318" s="19" t="s">
        <v>486</v>
      </c>
      <c r="J318" s="19" t="s">
        <v>495</v>
      </c>
      <c r="K318" s="19" t="b">
        <v>1</v>
      </c>
      <c r="L318" s="15">
        <v>2013</v>
      </c>
      <c r="M318" s="16">
        <v>0.0586</v>
      </c>
      <c r="N318" s="20">
        <v>41453</v>
      </c>
      <c r="O318" s="20">
        <v>41453</v>
      </c>
    </row>
    <row r="319" spans="1:15" ht="14.25">
      <c r="A319" s="17">
        <v>2013</v>
      </c>
      <c r="B319" s="18" t="s">
        <v>482</v>
      </c>
      <c r="C319" s="18" t="s">
        <v>483</v>
      </c>
      <c r="D319" s="19">
        <v>3021062</v>
      </c>
      <c r="E319" s="19">
        <v>2</v>
      </c>
      <c r="F319" s="19"/>
      <c r="G319" s="19">
        <v>510</v>
      </c>
      <c r="H319" s="19">
        <v>9.7</v>
      </c>
      <c r="I319" s="19"/>
      <c r="J319" s="19" t="s">
        <v>499</v>
      </c>
      <c r="K319" s="19" t="b">
        <v>1</v>
      </c>
      <c r="L319" s="15">
        <v>2022</v>
      </c>
      <c r="M319" s="16">
        <v>0.1063</v>
      </c>
      <c r="N319" s="20">
        <v>41453</v>
      </c>
      <c r="O319" s="20">
        <v>41453</v>
      </c>
    </row>
    <row r="320" spans="1:15" ht="14.25">
      <c r="A320" s="17">
        <v>2013</v>
      </c>
      <c r="B320" s="18" t="s">
        <v>482</v>
      </c>
      <c r="C320" s="18" t="s">
        <v>483</v>
      </c>
      <c r="D320" s="19">
        <v>3021062</v>
      </c>
      <c r="E320" s="19">
        <v>2</v>
      </c>
      <c r="F320" s="19"/>
      <c r="G320" s="19">
        <v>550</v>
      </c>
      <c r="H320" s="19">
        <v>10</v>
      </c>
      <c r="I320" s="19"/>
      <c r="J320" s="19" t="s">
        <v>111</v>
      </c>
      <c r="K320" s="19" t="b">
        <v>0</v>
      </c>
      <c r="L320" s="15">
        <v>2023</v>
      </c>
      <c r="M320" s="16">
        <v>669451</v>
      </c>
      <c r="N320" s="20">
        <v>41453</v>
      </c>
      <c r="O320" s="20">
        <v>41453</v>
      </c>
    </row>
    <row r="321" spans="1:15" ht="14.25">
      <c r="A321" s="17">
        <v>2013</v>
      </c>
      <c r="B321" s="18" t="s">
        <v>482</v>
      </c>
      <c r="C321" s="18" t="s">
        <v>483</v>
      </c>
      <c r="D321" s="19">
        <v>3021062</v>
      </c>
      <c r="E321" s="19">
        <v>2</v>
      </c>
      <c r="F321" s="19"/>
      <c r="G321" s="19">
        <v>40</v>
      </c>
      <c r="H321" s="19" t="s">
        <v>46</v>
      </c>
      <c r="I321" s="19"/>
      <c r="J321" s="19" t="s">
        <v>47</v>
      </c>
      <c r="K321" s="19" t="b">
        <v>1</v>
      </c>
      <c r="L321" s="15">
        <v>2015</v>
      </c>
      <c r="M321" s="16">
        <v>80000</v>
      </c>
      <c r="N321" s="20">
        <v>41453</v>
      </c>
      <c r="O321" s="20">
        <v>41453</v>
      </c>
    </row>
    <row r="322" spans="1:15" ht="14.25">
      <c r="A322" s="17">
        <v>2013</v>
      </c>
      <c r="B322" s="18" t="s">
        <v>482</v>
      </c>
      <c r="C322" s="18" t="s">
        <v>483</v>
      </c>
      <c r="D322" s="19">
        <v>3021062</v>
      </c>
      <c r="E322" s="19">
        <v>2</v>
      </c>
      <c r="F322" s="19"/>
      <c r="G322" s="19">
        <v>60</v>
      </c>
      <c r="H322" s="19" t="s">
        <v>50</v>
      </c>
      <c r="I322" s="19"/>
      <c r="J322" s="19" t="s">
        <v>51</v>
      </c>
      <c r="K322" s="19" t="b">
        <v>1</v>
      </c>
      <c r="L322" s="15">
        <v>2015</v>
      </c>
      <c r="M322" s="16">
        <v>2073000</v>
      </c>
      <c r="N322" s="20">
        <v>41453</v>
      </c>
      <c r="O322" s="20">
        <v>41453</v>
      </c>
    </row>
    <row r="323" spans="1:15" ht="14.25">
      <c r="A323" s="17">
        <v>2013</v>
      </c>
      <c r="B323" s="18" t="s">
        <v>482</v>
      </c>
      <c r="C323" s="18" t="s">
        <v>483</v>
      </c>
      <c r="D323" s="19">
        <v>3021062</v>
      </c>
      <c r="E323" s="19">
        <v>2</v>
      </c>
      <c r="F323" s="19"/>
      <c r="G323" s="19">
        <v>460</v>
      </c>
      <c r="H323" s="19">
        <v>9.2</v>
      </c>
      <c r="I323" s="19" t="s">
        <v>484</v>
      </c>
      <c r="J323" s="19" t="s">
        <v>99</v>
      </c>
      <c r="K323" s="19" t="b">
        <v>0</v>
      </c>
      <c r="L323" s="15">
        <v>2024</v>
      </c>
      <c r="M323" s="16">
        <v>0.019</v>
      </c>
      <c r="N323" s="20">
        <v>41453</v>
      </c>
      <c r="O323" s="20">
        <v>41453</v>
      </c>
    </row>
    <row r="324" spans="1:15" ht="14.25">
      <c r="A324" s="17">
        <v>2013</v>
      </c>
      <c r="B324" s="18" t="s">
        <v>482</v>
      </c>
      <c r="C324" s="18" t="s">
        <v>483</v>
      </c>
      <c r="D324" s="19">
        <v>3021062</v>
      </c>
      <c r="E324" s="19">
        <v>2</v>
      </c>
      <c r="F324" s="19"/>
      <c r="G324" s="19">
        <v>420</v>
      </c>
      <c r="H324" s="19">
        <v>8.1</v>
      </c>
      <c r="I324" s="19" t="s">
        <v>487</v>
      </c>
      <c r="J324" s="19" t="s">
        <v>96</v>
      </c>
      <c r="K324" s="19" t="b">
        <v>0</v>
      </c>
      <c r="L324" s="15">
        <v>2013</v>
      </c>
      <c r="M324" s="16">
        <v>180585</v>
      </c>
      <c r="N324" s="20">
        <v>41453</v>
      </c>
      <c r="O324" s="20">
        <v>41453</v>
      </c>
    </row>
    <row r="325" spans="1:15" ht="14.25">
      <c r="A325" s="17">
        <v>2013</v>
      </c>
      <c r="B325" s="18" t="s">
        <v>482</v>
      </c>
      <c r="C325" s="18" t="s">
        <v>483</v>
      </c>
      <c r="D325" s="19">
        <v>3021062</v>
      </c>
      <c r="E325" s="19">
        <v>2</v>
      </c>
      <c r="F325" s="19"/>
      <c r="G325" s="19">
        <v>450</v>
      </c>
      <c r="H325" s="19">
        <v>9.1</v>
      </c>
      <c r="I325" s="19" t="s">
        <v>486</v>
      </c>
      <c r="J325" s="19" t="s">
        <v>98</v>
      </c>
      <c r="K325" s="19" t="b">
        <v>1</v>
      </c>
      <c r="L325" s="15">
        <v>2013</v>
      </c>
      <c r="M325" s="16">
        <v>0.0586</v>
      </c>
      <c r="N325" s="20">
        <v>41453</v>
      </c>
      <c r="O325" s="20">
        <v>41453</v>
      </c>
    </row>
    <row r="326" spans="1:15" ht="14.25">
      <c r="A326" s="17">
        <v>2013</v>
      </c>
      <c r="B326" s="18" t="s">
        <v>482</v>
      </c>
      <c r="C326" s="18" t="s">
        <v>483</v>
      </c>
      <c r="D326" s="19">
        <v>3021062</v>
      </c>
      <c r="E326" s="19">
        <v>2</v>
      </c>
      <c r="F326" s="19"/>
      <c r="G326" s="19">
        <v>170</v>
      </c>
      <c r="H326" s="19" t="s">
        <v>68</v>
      </c>
      <c r="I326" s="19"/>
      <c r="J326" s="19" t="s">
        <v>69</v>
      </c>
      <c r="K326" s="19" t="b">
        <v>1</v>
      </c>
      <c r="L326" s="15">
        <v>2018</v>
      </c>
      <c r="M326" s="16">
        <v>244000</v>
      </c>
      <c r="N326" s="20">
        <v>41453</v>
      </c>
      <c r="O326" s="20">
        <v>41453</v>
      </c>
    </row>
    <row r="327" spans="1:15" ht="14.25">
      <c r="A327" s="17">
        <v>2013</v>
      </c>
      <c r="B327" s="18" t="s">
        <v>482</v>
      </c>
      <c r="C327" s="18" t="s">
        <v>483</v>
      </c>
      <c r="D327" s="19">
        <v>3021062</v>
      </c>
      <c r="E327" s="19">
        <v>2</v>
      </c>
      <c r="F327" s="19"/>
      <c r="G327" s="19">
        <v>520</v>
      </c>
      <c r="H327" s="19" t="s">
        <v>106</v>
      </c>
      <c r="I327" s="19"/>
      <c r="J327" s="19" t="s">
        <v>493</v>
      </c>
      <c r="K327" s="19" t="b">
        <v>1</v>
      </c>
      <c r="L327" s="15">
        <v>2017</v>
      </c>
      <c r="M327" s="16">
        <v>0.07</v>
      </c>
      <c r="N327" s="20">
        <v>41453</v>
      </c>
      <c r="O327" s="20">
        <v>41453</v>
      </c>
    </row>
    <row r="328" spans="1:15" ht="14.25">
      <c r="A328" s="17">
        <v>2013</v>
      </c>
      <c r="B328" s="18" t="s">
        <v>482</v>
      </c>
      <c r="C328" s="18" t="s">
        <v>483</v>
      </c>
      <c r="D328" s="19">
        <v>3021062</v>
      </c>
      <c r="E328" s="19">
        <v>2</v>
      </c>
      <c r="F328" s="19"/>
      <c r="G328" s="19">
        <v>10</v>
      </c>
      <c r="H328" s="19">
        <v>1</v>
      </c>
      <c r="I328" s="19" t="s">
        <v>485</v>
      </c>
      <c r="J328" s="19" t="s">
        <v>26</v>
      </c>
      <c r="K328" s="19" t="b">
        <v>1</v>
      </c>
      <c r="L328" s="15">
        <v>2024</v>
      </c>
      <c r="M328" s="16">
        <v>24900000</v>
      </c>
      <c r="N328" s="20">
        <v>41453</v>
      </c>
      <c r="O328" s="20">
        <v>41453</v>
      </c>
    </row>
    <row r="329" spans="1:15" ht="14.25">
      <c r="A329" s="17">
        <v>2013</v>
      </c>
      <c r="B329" s="18" t="s">
        <v>482</v>
      </c>
      <c r="C329" s="18" t="s">
        <v>483</v>
      </c>
      <c r="D329" s="19">
        <v>3021062</v>
      </c>
      <c r="E329" s="19">
        <v>2</v>
      </c>
      <c r="F329" s="19"/>
      <c r="G329" s="19">
        <v>510</v>
      </c>
      <c r="H329" s="19">
        <v>9.7</v>
      </c>
      <c r="I329" s="19"/>
      <c r="J329" s="19" t="s">
        <v>499</v>
      </c>
      <c r="K329" s="19" t="b">
        <v>1</v>
      </c>
      <c r="L329" s="15">
        <v>2013</v>
      </c>
      <c r="M329" s="16">
        <v>0.1342</v>
      </c>
      <c r="N329" s="20">
        <v>41453</v>
      </c>
      <c r="O329" s="20">
        <v>41453</v>
      </c>
    </row>
    <row r="330" spans="1:15" ht="14.25">
      <c r="A330" s="17">
        <v>2013</v>
      </c>
      <c r="B330" s="18" t="s">
        <v>482</v>
      </c>
      <c r="C330" s="18" t="s">
        <v>483</v>
      </c>
      <c r="D330" s="19">
        <v>3021062</v>
      </c>
      <c r="E330" s="19">
        <v>2</v>
      </c>
      <c r="F330" s="19"/>
      <c r="G330" s="19">
        <v>380</v>
      </c>
      <c r="H330" s="19">
        <v>6.2</v>
      </c>
      <c r="I330" s="19" t="s">
        <v>500</v>
      </c>
      <c r="J330" s="19" t="s">
        <v>93</v>
      </c>
      <c r="K330" s="19" t="b">
        <v>0</v>
      </c>
      <c r="L330" s="15">
        <v>2021</v>
      </c>
      <c r="M330" s="16">
        <v>0.0784</v>
      </c>
      <c r="N330" s="20">
        <v>41453</v>
      </c>
      <c r="O330" s="20">
        <v>41453</v>
      </c>
    </row>
    <row r="331" spans="1:15" ht="14.25">
      <c r="A331" s="17">
        <v>2013</v>
      </c>
      <c r="B331" s="18" t="s">
        <v>482</v>
      </c>
      <c r="C331" s="18" t="s">
        <v>483</v>
      </c>
      <c r="D331" s="19">
        <v>3021062</v>
      </c>
      <c r="E331" s="19">
        <v>2</v>
      </c>
      <c r="F331" s="19"/>
      <c r="G331" s="19">
        <v>30</v>
      </c>
      <c r="H331" s="19" t="s">
        <v>44</v>
      </c>
      <c r="I331" s="19"/>
      <c r="J331" s="19" t="s">
        <v>45</v>
      </c>
      <c r="K331" s="19" t="b">
        <v>1</v>
      </c>
      <c r="L331" s="15">
        <v>2014</v>
      </c>
      <c r="M331" s="16">
        <v>5862000</v>
      </c>
      <c r="N331" s="20">
        <v>41453</v>
      </c>
      <c r="O331" s="20">
        <v>41453</v>
      </c>
    </row>
    <row r="332" spans="1:15" ht="14.25">
      <c r="A332" s="17">
        <v>2013</v>
      </c>
      <c r="B332" s="18" t="s">
        <v>482</v>
      </c>
      <c r="C332" s="18" t="s">
        <v>483</v>
      </c>
      <c r="D332" s="19">
        <v>3021062</v>
      </c>
      <c r="E332" s="19">
        <v>2</v>
      </c>
      <c r="F332" s="19"/>
      <c r="G332" s="19">
        <v>505</v>
      </c>
      <c r="H332" s="19" t="s">
        <v>103</v>
      </c>
      <c r="I332" s="19" t="s">
        <v>497</v>
      </c>
      <c r="J332" s="19" t="s">
        <v>104</v>
      </c>
      <c r="K332" s="19" t="b">
        <v>0</v>
      </c>
      <c r="L332" s="15">
        <v>2016</v>
      </c>
      <c r="M332" s="16">
        <v>0.0724</v>
      </c>
      <c r="N332" s="20">
        <v>41453</v>
      </c>
      <c r="O332" s="20">
        <v>41453</v>
      </c>
    </row>
    <row r="333" spans="1:15" ht="14.25">
      <c r="A333" s="17">
        <v>2013</v>
      </c>
      <c r="B333" s="18" t="s">
        <v>482</v>
      </c>
      <c r="C333" s="18" t="s">
        <v>483</v>
      </c>
      <c r="D333" s="19">
        <v>3021062</v>
      </c>
      <c r="E333" s="19">
        <v>2</v>
      </c>
      <c r="F333" s="19"/>
      <c r="G333" s="19">
        <v>430</v>
      </c>
      <c r="H333" s="19">
        <v>8.2</v>
      </c>
      <c r="I333" s="19" t="s">
        <v>490</v>
      </c>
      <c r="J333" s="19" t="s">
        <v>97</v>
      </c>
      <c r="K333" s="19" t="b">
        <v>0</v>
      </c>
      <c r="L333" s="15">
        <v>2019</v>
      </c>
      <c r="M333" s="16">
        <v>2253000</v>
      </c>
      <c r="N333" s="20">
        <v>41453</v>
      </c>
      <c r="O333" s="20">
        <v>41453</v>
      </c>
    </row>
    <row r="334" spans="1:15" ht="14.25">
      <c r="A334" s="17">
        <v>2013</v>
      </c>
      <c r="B334" s="18" t="s">
        <v>482</v>
      </c>
      <c r="C334" s="18" t="s">
        <v>483</v>
      </c>
      <c r="D334" s="19">
        <v>3021062</v>
      </c>
      <c r="E334" s="19">
        <v>2</v>
      </c>
      <c r="F334" s="19"/>
      <c r="G334" s="19">
        <v>630</v>
      </c>
      <c r="H334" s="19">
        <v>11.4</v>
      </c>
      <c r="I334" s="19"/>
      <c r="J334" s="19" t="s">
        <v>121</v>
      </c>
      <c r="K334" s="19" t="b">
        <v>1</v>
      </c>
      <c r="L334" s="15">
        <v>2013</v>
      </c>
      <c r="M334" s="16">
        <v>374286</v>
      </c>
      <c r="N334" s="20">
        <v>41453</v>
      </c>
      <c r="O334" s="20">
        <v>41453</v>
      </c>
    </row>
    <row r="335" spans="1:15" ht="14.25">
      <c r="A335" s="17">
        <v>2013</v>
      </c>
      <c r="B335" s="18" t="s">
        <v>482</v>
      </c>
      <c r="C335" s="18" t="s">
        <v>483</v>
      </c>
      <c r="D335" s="19">
        <v>3021062</v>
      </c>
      <c r="E335" s="19">
        <v>2</v>
      </c>
      <c r="F335" s="19"/>
      <c r="G335" s="19">
        <v>530</v>
      </c>
      <c r="H335" s="19">
        <v>9.8</v>
      </c>
      <c r="I335" s="19" t="s">
        <v>494</v>
      </c>
      <c r="J335" s="19" t="s">
        <v>108</v>
      </c>
      <c r="K335" s="19" t="b">
        <v>0</v>
      </c>
      <c r="L335" s="15">
        <v>2024</v>
      </c>
      <c r="M335" s="16">
        <v>1055</v>
      </c>
      <c r="N335" s="20">
        <v>41453</v>
      </c>
      <c r="O335" s="20">
        <v>41453</v>
      </c>
    </row>
    <row r="336" spans="1:15" ht="14.25">
      <c r="A336" s="17">
        <v>2013</v>
      </c>
      <c r="B336" s="18" t="s">
        <v>482</v>
      </c>
      <c r="C336" s="18" t="s">
        <v>483</v>
      </c>
      <c r="D336" s="19">
        <v>3021062</v>
      </c>
      <c r="E336" s="19">
        <v>2</v>
      </c>
      <c r="F336" s="19"/>
      <c r="G336" s="19">
        <v>210</v>
      </c>
      <c r="H336" s="19">
        <v>4</v>
      </c>
      <c r="I336" s="19" t="s">
        <v>501</v>
      </c>
      <c r="J336" s="19" t="s">
        <v>24</v>
      </c>
      <c r="K336" s="19" t="b">
        <v>0</v>
      </c>
      <c r="L336" s="15">
        <v>2015</v>
      </c>
      <c r="M336" s="16">
        <v>501100</v>
      </c>
      <c r="N336" s="20">
        <v>41453</v>
      </c>
      <c r="O336" s="20">
        <v>41453</v>
      </c>
    </row>
    <row r="337" spans="1:15" ht="14.25">
      <c r="A337" s="17">
        <v>2013</v>
      </c>
      <c r="B337" s="18" t="s">
        <v>482</v>
      </c>
      <c r="C337" s="18" t="s">
        <v>483</v>
      </c>
      <c r="D337" s="19">
        <v>3021062</v>
      </c>
      <c r="E337" s="19">
        <v>2</v>
      </c>
      <c r="F337" s="19"/>
      <c r="G337" s="19">
        <v>10</v>
      </c>
      <c r="H337" s="19">
        <v>1</v>
      </c>
      <c r="I337" s="19" t="s">
        <v>485</v>
      </c>
      <c r="J337" s="19" t="s">
        <v>26</v>
      </c>
      <c r="K337" s="19" t="b">
        <v>1</v>
      </c>
      <c r="L337" s="15">
        <v>2015</v>
      </c>
      <c r="M337" s="16">
        <v>20979000</v>
      </c>
      <c r="N337" s="20">
        <v>41453</v>
      </c>
      <c r="O337" s="20">
        <v>41453</v>
      </c>
    </row>
    <row r="338" spans="1:15" ht="14.25">
      <c r="A338" s="17">
        <v>2013</v>
      </c>
      <c r="B338" s="18" t="s">
        <v>482</v>
      </c>
      <c r="C338" s="18" t="s">
        <v>483</v>
      </c>
      <c r="D338" s="19">
        <v>3021062</v>
      </c>
      <c r="E338" s="19">
        <v>2</v>
      </c>
      <c r="F338" s="19"/>
      <c r="G338" s="19">
        <v>480</v>
      </c>
      <c r="H338" s="19">
        <v>9.4</v>
      </c>
      <c r="I338" s="19" t="s">
        <v>484</v>
      </c>
      <c r="J338" s="19" t="s">
        <v>100</v>
      </c>
      <c r="K338" s="19" t="b">
        <v>0</v>
      </c>
      <c r="L338" s="15">
        <v>2016</v>
      </c>
      <c r="M338" s="16">
        <v>0.06</v>
      </c>
      <c r="N338" s="20">
        <v>41453</v>
      </c>
      <c r="O338" s="20">
        <v>41453</v>
      </c>
    </row>
    <row r="339" spans="1:15" ht="14.25">
      <c r="A339" s="17">
        <v>2013</v>
      </c>
      <c r="B339" s="18" t="s">
        <v>482</v>
      </c>
      <c r="C339" s="18" t="s">
        <v>483</v>
      </c>
      <c r="D339" s="19">
        <v>3021062</v>
      </c>
      <c r="E339" s="19">
        <v>2</v>
      </c>
      <c r="F339" s="19"/>
      <c r="G339" s="19">
        <v>300</v>
      </c>
      <c r="H339" s="19">
        <v>5</v>
      </c>
      <c r="I339" s="19" t="s">
        <v>496</v>
      </c>
      <c r="J339" s="19" t="s">
        <v>83</v>
      </c>
      <c r="K339" s="19" t="b">
        <v>0</v>
      </c>
      <c r="L339" s="15">
        <v>2020</v>
      </c>
      <c r="M339" s="16">
        <v>581551</v>
      </c>
      <c r="N339" s="20">
        <v>41453</v>
      </c>
      <c r="O339" s="20">
        <v>41453</v>
      </c>
    </row>
    <row r="340" spans="1:15" ht="14.25">
      <c r="A340" s="17">
        <v>2013</v>
      </c>
      <c r="B340" s="18" t="s">
        <v>482</v>
      </c>
      <c r="C340" s="18" t="s">
        <v>483</v>
      </c>
      <c r="D340" s="19">
        <v>3021062</v>
      </c>
      <c r="E340" s="19">
        <v>2</v>
      </c>
      <c r="F340" s="19"/>
      <c r="G340" s="19">
        <v>470</v>
      </c>
      <c r="H340" s="19">
        <v>9.3</v>
      </c>
      <c r="I340" s="19" t="s">
        <v>486</v>
      </c>
      <c r="J340" s="19" t="s">
        <v>495</v>
      </c>
      <c r="K340" s="19" t="b">
        <v>1</v>
      </c>
      <c r="L340" s="15">
        <v>2016</v>
      </c>
      <c r="M340" s="16">
        <v>0.06</v>
      </c>
      <c r="N340" s="20">
        <v>41453</v>
      </c>
      <c r="O340" s="20">
        <v>41453</v>
      </c>
    </row>
    <row r="341" spans="1:15" ht="14.25">
      <c r="A341" s="17">
        <v>2013</v>
      </c>
      <c r="B341" s="18" t="s">
        <v>482</v>
      </c>
      <c r="C341" s="18" t="s">
        <v>483</v>
      </c>
      <c r="D341" s="19">
        <v>3021062</v>
      </c>
      <c r="E341" s="19">
        <v>2</v>
      </c>
      <c r="F341" s="19"/>
      <c r="G341" s="19">
        <v>300</v>
      </c>
      <c r="H341" s="19">
        <v>5</v>
      </c>
      <c r="I341" s="19" t="s">
        <v>496</v>
      </c>
      <c r="J341" s="19" t="s">
        <v>83</v>
      </c>
      <c r="K341" s="19" t="b">
        <v>0</v>
      </c>
      <c r="L341" s="15">
        <v>2016</v>
      </c>
      <c r="M341" s="16">
        <v>915135</v>
      </c>
      <c r="N341" s="20">
        <v>41453</v>
      </c>
      <c r="O341" s="20">
        <v>41453</v>
      </c>
    </row>
    <row r="342" spans="1:15" ht="14.25">
      <c r="A342" s="17">
        <v>2013</v>
      </c>
      <c r="B342" s="18" t="s">
        <v>482</v>
      </c>
      <c r="C342" s="18" t="s">
        <v>483</v>
      </c>
      <c r="D342" s="19">
        <v>3021062</v>
      </c>
      <c r="E342" s="19">
        <v>2</v>
      </c>
      <c r="F342" s="19"/>
      <c r="G342" s="19">
        <v>505</v>
      </c>
      <c r="H342" s="19" t="s">
        <v>103</v>
      </c>
      <c r="I342" s="19" t="s">
        <v>497</v>
      </c>
      <c r="J342" s="19" t="s">
        <v>104</v>
      </c>
      <c r="K342" s="19" t="b">
        <v>0</v>
      </c>
      <c r="L342" s="15">
        <v>2017</v>
      </c>
      <c r="M342" s="16">
        <v>0.0831</v>
      </c>
      <c r="N342" s="20">
        <v>41453</v>
      </c>
      <c r="O342" s="20">
        <v>41453</v>
      </c>
    </row>
    <row r="343" spans="1:15" ht="14.25">
      <c r="A343" s="17">
        <v>2013</v>
      </c>
      <c r="B343" s="18" t="s">
        <v>482</v>
      </c>
      <c r="C343" s="18" t="s">
        <v>483</v>
      </c>
      <c r="D343" s="19">
        <v>3021062</v>
      </c>
      <c r="E343" s="19">
        <v>2</v>
      </c>
      <c r="F343" s="19"/>
      <c r="G343" s="19">
        <v>170</v>
      </c>
      <c r="H343" s="19" t="s">
        <v>68</v>
      </c>
      <c r="I343" s="19"/>
      <c r="J343" s="19" t="s">
        <v>69</v>
      </c>
      <c r="K343" s="19" t="b">
        <v>1</v>
      </c>
      <c r="L343" s="15">
        <v>2023</v>
      </c>
      <c r="M343" s="16">
        <v>51000</v>
      </c>
      <c r="N343" s="20">
        <v>41453</v>
      </c>
      <c r="O343" s="20">
        <v>41453</v>
      </c>
    </row>
    <row r="344" spans="1:15" ht="14.25">
      <c r="A344" s="17">
        <v>2013</v>
      </c>
      <c r="B344" s="18" t="s">
        <v>482</v>
      </c>
      <c r="C344" s="18" t="s">
        <v>483</v>
      </c>
      <c r="D344" s="19">
        <v>3021062</v>
      </c>
      <c r="E344" s="19">
        <v>2</v>
      </c>
      <c r="F344" s="19"/>
      <c r="G344" s="19">
        <v>505</v>
      </c>
      <c r="H344" s="19" t="s">
        <v>103</v>
      </c>
      <c r="I344" s="19" t="s">
        <v>497</v>
      </c>
      <c r="J344" s="19" t="s">
        <v>104</v>
      </c>
      <c r="K344" s="19" t="b">
        <v>0</v>
      </c>
      <c r="L344" s="15">
        <v>2020</v>
      </c>
      <c r="M344" s="16">
        <v>0.1043</v>
      </c>
      <c r="N344" s="20">
        <v>41453</v>
      </c>
      <c r="O344" s="20">
        <v>41453</v>
      </c>
    </row>
    <row r="345" spans="1:15" ht="14.25">
      <c r="A345" s="17">
        <v>2013</v>
      </c>
      <c r="B345" s="18" t="s">
        <v>482</v>
      </c>
      <c r="C345" s="18" t="s">
        <v>483</v>
      </c>
      <c r="D345" s="19">
        <v>3021062</v>
      </c>
      <c r="E345" s="19">
        <v>2</v>
      </c>
      <c r="F345" s="19"/>
      <c r="G345" s="19">
        <v>540</v>
      </c>
      <c r="H345" s="19" t="s">
        <v>109</v>
      </c>
      <c r="I345" s="19" t="s">
        <v>502</v>
      </c>
      <c r="J345" s="19" t="s">
        <v>110</v>
      </c>
      <c r="K345" s="19" t="b">
        <v>0</v>
      </c>
      <c r="L345" s="15">
        <v>2017</v>
      </c>
      <c r="M345" s="16">
        <v>137</v>
      </c>
      <c r="N345" s="20">
        <v>41453</v>
      </c>
      <c r="O345" s="20">
        <v>41453</v>
      </c>
    </row>
    <row r="346" spans="1:15" ht="14.25">
      <c r="A346" s="17">
        <v>2013</v>
      </c>
      <c r="B346" s="18" t="s">
        <v>482</v>
      </c>
      <c r="C346" s="18" t="s">
        <v>483</v>
      </c>
      <c r="D346" s="19">
        <v>3021062</v>
      </c>
      <c r="E346" s="19">
        <v>2</v>
      </c>
      <c r="F346" s="19"/>
      <c r="G346" s="19">
        <v>505</v>
      </c>
      <c r="H346" s="19" t="s">
        <v>103</v>
      </c>
      <c r="I346" s="19" t="s">
        <v>497</v>
      </c>
      <c r="J346" s="19" t="s">
        <v>104</v>
      </c>
      <c r="K346" s="19" t="b">
        <v>0</v>
      </c>
      <c r="L346" s="15">
        <v>2018</v>
      </c>
      <c r="M346" s="16">
        <v>0.0921</v>
      </c>
      <c r="N346" s="20">
        <v>41453</v>
      </c>
      <c r="O346" s="20">
        <v>41453</v>
      </c>
    </row>
    <row r="347" spans="1:15" ht="14.25">
      <c r="A347" s="17">
        <v>2013</v>
      </c>
      <c r="B347" s="18" t="s">
        <v>482</v>
      </c>
      <c r="C347" s="18" t="s">
        <v>483</v>
      </c>
      <c r="D347" s="19">
        <v>3021062</v>
      </c>
      <c r="E347" s="19">
        <v>2</v>
      </c>
      <c r="F347" s="19"/>
      <c r="G347" s="19">
        <v>510</v>
      </c>
      <c r="H347" s="19">
        <v>9.7</v>
      </c>
      <c r="I347" s="19"/>
      <c r="J347" s="19" t="s">
        <v>499</v>
      </c>
      <c r="K347" s="19" t="b">
        <v>1</v>
      </c>
      <c r="L347" s="15">
        <v>2015</v>
      </c>
      <c r="M347" s="16">
        <v>0.0822</v>
      </c>
      <c r="N347" s="20">
        <v>41453</v>
      </c>
      <c r="O347" s="20">
        <v>41453</v>
      </c>
    </row>
    <row r="348" spans="1:15" ht="14.25">
      <c r="A348" s="17">
        <v>2013</v>
      </c>
      <c r="B348" s="18" t="s">
        <v>482</v>
      </c>
      <c r="C348" s="18" t="s">
        <v>483</v>
      </c>
      <c r="D348" s="19">
        <v>3021062</v>
      </c>
      <c r="E348" s="19">
        <v>2</v>
      </c>
      <c r="F348" s="19"/>
      <c r="G348" s="19">
        <v>480</v>
      </c>
      <c r="H348" s="19">
        <v>9.4</v>
      </c>
      <c r="I348" s="19" t="s">
        <v>484</v>
      </c>
      <c r="J348" s="19" t="s">
        <v>100</v>
      </c>
      <c r="K348" s="19" t="b">
        <v>0</v>
      </c>
      <c r="L348" s="15">
        <v>2014</v>
      </c>
      <c r="M348" s="16">
        <v>0.0626</v>
      </c>
      <c r="N348" s="20">
        <v>41453</v>
      </c>
      <c r="O348" s="20">
        <v>41453</v>
      </c>
    </row>
    <row r="349" spans="1:15" ht="14.25">
      <c r="A349" s="17">
        <v>2013</v>
      </c>
      <c r="B349" s="18" t="s">
        <v>482</v>
      </c>
      <c r="C349" s="18" t="s">
        <v>483</v>
      </c>
      <c r="D349" s="19">
        <v>3021062</v>
      </c>
      <c r="E349" s="19">
        <v>2</v>
      </c>
      <c r="F349" s="19"/>
      <c r="G349" s="19">
        <v>500</v>
      </c>
      <c r="H349" s="19">
        <v>9.6</v>
      </c>
      <c r="I349" s="19" t="s">
        <v>498</v>
      </c>
      <c r="J349" s="19" t="s">
        <v>102</v>
      </c>
      <c r="K349" s="19" t="b">
        <v>0</v>
      </c>
      <c r="L349" s="15">
        <v>2013</v>
      </c>
      <c r="M349" s="16">
        <v>0.0586</v>
      </c>
      <c r="N349" s="20">
        <v>41453</v>
      </c>
      <c r="O349" s="20">
        <v>41453</v>
      </c>
    </row>
    <row r="350" spans="1:15" ht="14.25">
      <c r="A350" s="17">
        <v>2013</v>
      </c>
      <c r="B350" s="18" t="s">
        <v>482</v>
      </c>
      <c r="C350" s="18" t="s">
        <v>483</v>
      </c>
      <c r="D350" s="19">
        <v>3021062</v>
      </c>
      <c r="E350" s="19">
        <v>2</v>
      </c>
      <c r="F350" s="19"/>
      <c r="G350" s="19">
        <v>510</v>
      </c>
      <c r="H350" s="19">
        <v>9.7</v>
      </c>
      <c r="I350" s="19"/>
      <c r="J350" s="19" t="s">
        <v>499</v>
      </c>
      <c r="K350" s="19" t="b">
        <v>1</v>
      </c>
      <c r="L350" s="15">
        <v>2021</v>
      </c>
      <c r="M350" s="16">
        <v>0.0988</v>
      </c>
      <c r="N350" s="20">
        <v>41453</v>
      </c>
      <c r="O350" s="20">
        <v>41453</v>
      </c>
    </row>
    <row r="351" spans="1:15" ht="14.25">
      <c r="A351" s="17">
        <v>2013</v>
      </c>
      <c r="B351" s="18" t="s">
        <v>482</v>
      </c>
      <c r="C351" s="18" t="s">
        <v>483</v>
      </c>
      <c r="D351" s="19">
        <v>3021062</v>
      </c>
      <c r="E351" s="19">
        <v>2</v>
      </c>
      <c r="F351" s="19"/>
      <c r="G351" s="19">
        <v>505</v>
      </c>
      <c r="H351" s="19" t="s">
        <v>103</v>
      </c>
      <c r="I351" s="19" t="s">
        <v>497</v>
      </c>
      <c r="J351" s="19" t="s">
        <v>104</v>
      </c>
      <c r="K351" s="19" t="b">
        <v>0</v>
      </c>
      <c r="L351" s="15">
        <v>2021</v>
      </c>
      <c r="M351" s="16">
        <v>0.1146</v>
      </c>
      <c r="N351" s="20">
        <v>41453</v>
      </c>
      <c r="O351" s="20">
        <v>41453</v>
      </c>
    </row>
    <row r="352" spans="1:15" ht="14.25">
      <c r="A352" s="17">
        <v>2013</v>
      </c>
      <c r="B352" s="18" t="s">
        <v>482</v>
      </c>
      <c r="C352" s="18" t="s">
        <v>483</v>
      </c>
      <c r="D352" s="19">
        <v>3021062</v>
      </c>
      <c r="E352" s="19">
        <v>2</v>
      </c>
      <c r="F352" s="19"/>
      <c r="G352" s="19">
        <v>120</v>
      </c>
      <c r="H352" s="19">
        <v>2</v>
      </c>
      <c r="I352" s="19" t="s">
        <v>492</v>
      </c>
      <c r="J352" s="19" t="s">
        <v>21</v>
      </c>
      <c r="K352" s="19" t="b">
        <v>0</v>
      </c>
      <c r="L352" s="15">
        <v>2021</v>
      </c>
      <c r="M352" s="16">
        <v>22751149</v>
      </c>
      <c r="N352" s="20">
        <v>41453</v>
      </c>
      <c r="O352" s="20">
        <v>41453</v>
      </c>
    </row>
    <row r="353" spans="1:15" ht="14.25">
      <c r="A353" s="17">
        <v>2013</v>
      </c>
      <c r="B353" s="18" t="s">
        <v>482</v>
      </c>
      <c r="C353" s="18" t="s">
        <v>483</v>
      </c>
      <c r="D353" s="19">
        <v>3021062</v>
      </c>
      <c r="E353" s="19">
        <v>2</v>
      </c>
      <c r="F353" s="19"/>
      <c r="G353" s="19">
        <v>350</v>
      </c>
      <c r="H353" s="19">
        <v>6</v>
      </c>
      <c r="I353" s="19"/>
      <c r="J353" s="19" t="s">
        <v>27</v>
      </c>
      <c r="K353" s="19" t="b">
        <v>1</v>
      </c>
      <c r="L353" s="15">
        <v>2014</v>
      </c>
      <c r="M353" s="16">
        <v>6984425</v>
      </c>
      <c r="N353" s="20">
        <v>41453</v>
      </c>
      <c r="O353" s="20">
        <v>41453</v>
      </c>
    </row>
    <row r="354" spans="1:15" ht="14.25">
      <c r="A354" s="17">
        <v>2013</v>
      </c>
      <c r="B354" s="18" t="s">
        <v>482</v>
      </c>
      <c r="C354" s="18" t="s">
        <v>483</v>
      </c>
      <c r="D354" s="19">
        <v>3021062</v>
      </c>
      <c r="E354" s="19">
        <v>2</v>
      </c>
      <c r="F354" s="19"/>
      <c r="G354" s="19">
        <v>500</v>
      </c>
      <c r="H354" s="19">
        <v>9.6</v>
      </c>
      <c r="I354" s="19" t="s">
        <v>498</v>
      </c>
      <c r="J354" s="19" t="s">
        <v>102</v>
      </c>
      <c r="K354" s="19" t="b">
        <v>0</v>
      </c>
      <c r="L354" s="15">
        <v>2020</v>
      </c>
      <c r="M354" s="16">
        <v>0.0324</v>
      </c>
      <c r="N354" s="20">
        <v>41453</v>
      </c>
      <c r="O354" s="20">
        <v>41453</v>
      </c>
    </row>
    <row r="355" spans="1:15" ht="14.25">
      <c r="A355" s="17">
        <v>2013</v>
      </c>
      <c r="B355" s="18" t="s">
        <v>482</v>
      </c>
      <c r="C355" s="18" t="s">
        <v>483</v>
      </c>
      <c r="D355" s="19">
        <v>3021062</v>
      </c>
      <c r="E355" s="19">
        <v>2</v>
      </c>
      <c r="F355" s="19"/>
      <c r="G355" s="19">
        <v>100</v>
      </c>
      <c r="H355" s="19" t="s">
        <v>57</v>
      </c>
      <c r="I355" s="19"/>
      <c r="J355" s="19" t="s">
        <v>58</v>
      </c>
      <c r="K355" s="19" t="b">
        <v>1</v>
      </c>
      <c r="L355" s="15">
        <v>2015</v>
      </c>
      <c r="M355" s="16">
        <v>326000</v>
      </c>
      <c r="N355" s="20">
        <v>41453</v>
      </c>
      <c r="O355" s="20">
        <v>41453</v>
      </c>
    </row>
    <row r="356" spans="1:15" ht="14.25">
      <c r="A356" s="17">
        <v>2013</v>
      </c>
      <c r="B356" s="18" t="s">
        <v>482</v>
      </c>
      <c r="C356" s="18" t="s">
        <v>483</v>
      </c>
      <c r="D356" s="19">
        <v>3021062</v>
      </c>
      <c r="E356" s="19">
        <v>2</v>
      </c>
      <c r="F356" s="19"/>
      <c r="G356" s="19">
        <v>500</v>
      </c>
      <c r="H356" s="19">
        <v>9.6</v>
      </c>
      <c r="I356" s="19" t="s">
        <v>498</v>
      </c>
      <c r="J356" s="19" t="s">
        <v>102</v>
      </c>
      <c r="K356" s="19" t="b">
        <v>0</v>
      </c>
      <c r="L356" s="15">
        <v>2023</v>
      </c>
      <c r="M356" s="16">
        <v>0.0295</v>
      </c>
      <c r="N356" s="20">
        <v>41453</v>
      </c>
      <c r="O356" s="20">
        <v>41453</v>
      </c>
    </row>
    <row r="357" spans="1:15" ht="14.25">
      <c r="A357" s="17">
        <v>2013</v>
      </c>
      <c r="B357" s="18" t="s">
        <v>482</v>
      </c>
      <c r="C357" s="18" t="s">
        <v>483</v>
      </c>
      <c r="D357" s="19">
        <v>3021062</v>
      </c>
      <c r="E357" s="19">
        <v>2</v>
      </c>
      <c r="F357" s="19"/>
      <c r="G357" s="19">
        <v>120</v>
      </c>
      <c r="H357" s="19">
        <v>2</v>
      </c>
      <c r="I357" s="19" t="s">
        <v>492</v>
      </c>
      <c r="J357" s="19" t="s">
        <v>21</v>
      </c>
      <c r="K357" s="19" t="b">
        <v>0</v>
      </c>
      <c r="L357" s="15">
        <v>2015</v>
      </c>
      <c r="M357" s="16">
        <v>20604965</v>
      </c>
      <c r="N357" s="20">
        <v>41453</v>
      </c>
      <c r="O357" s="20">
        <v>41453</v>
      </c>
    </row>
    <row r="358" spans="1:15" ht="14.25">
      <c r="A358" s="17">
        <v>2013</v>
      </c>
      <c r="B358" s="18" t="s">
        <v>482</v>
      </c>
      <c r="C358" s="18" t="s">
        <v>483</v>
      </c>
      <c r="D358" s="19">
        <v>3021062</v>
      </c>
      <c r="E358" s="19">
        <v>2</v>
      </c>
      <c r="F358" s="19"/>
      <c r="G358" s="19">
        <v>460</v>
      </c>
      <c r="H358" s="19">
        <v>9.2</v>
      </c>
      <c r="I358" s="19" t="s">
        <v>484</v>
      </c>
      <c r="J358" s="19" t="s">
        <v>99</v>
      </c>
      <c r="K358" s="19" t="b">
        <v>0</v>
      </c>
      <c r="L358" s="15">
        <v>2015</v>
      </c>
      <c r="M358" s="16">
        <v>0.0574</v>
      </c>
      <c r="N358" s="20">
        <v>41453</v>
      </c>
      <c r="O358" s="20">
        <v>41453</v>
      </c>
    </row>
    <row r="359" spans="1:15" ht="14.25">
      <c r="A359" s="17">
        <v>2013</v>
      </c>
      <c r="B359" s="18" t="s">
        <v>482</v>
      </c>
      <c r="C359" s="18" t="s">
        <v>483</v>
      </c>
      <c r="D359" s="19">
        <v>3021062</v>
      </c>
      <c r="E359" s="19">
        <v>2</v>
      </c>
      <c r="F359" s="19"/>
      <c r="G359" s="19">
        <v>470</v>
      </c>
      <c r="H359" s="19">
        <v>9.3</v>
      </c>
      <c r="I359" s="19" t="s">
        <v>486</v>
      </c>
      <c r="J359" s="19" t="s">
        <v>495</v>
      </c>
      <c r="K359" s="19" t="b">
        <v>1</v>
      </c>
      <c r="L359" s="15">
        <v>2018</v>
      </c>
      <c r="M359" s="16">
        <v>0.0507</v>
      </c>
      <c r="N359" s="20">
        <v>41453</v>
      </c>
      <c r="O359" s="20">
        <v>41453</v>
      </c>
    </row>
    <row r="360" spans="1:15" ht="14.25">
      <c r="A360" s="17">
        <v>2013</v>
      </c>
      <c r="B360" s="18" t="s">
        <v>482</v>
      </c>
      <c r="C360" s="18" t="s">
        <v>483</v>
      </c>
      <c r="D360" s="19">
        <v>3021062</v>
      </c>
      <c r="E360" s="19">
        <v>2</v>
      </c>
      <c r="F360" s="19"/>
      <c r="G360" s="19">
        <v>880</v>
      </c>
      <c r="H360" s="19">
        <v>14.1</v>
      </c>
      <c r="I360" s="19"/>
      <c r="J360" s="19" t="s">
        <v>154</v>
      </c>
      <c r="K360" s="19" t="b">
        <v>1</v>
      </c>
      <c r="L360" s="15">
        <v>2014</v>
      </c>
      <c r="M360" s="16">
        <v>835135</v>
      </c>
      <c r="N360" s="20">
        <v>41453</v>
      </c>
      <c r="O360" s="20">
        <v>41453</v>
      </c>
    </row>
    <row r="361" spans="1:15" ht="14.25">
      <c r="A361" s="17">
        <v>2013</v>
      </c>
      <c r="B361" s="18" t="s">
        <v>482</v>
      </c>
      <c r="C361" s="18" t="s">
        <v>483</v>
      </c>
      <c r="D361" s="19">
        <v>3021062</v>
      </c>
      <c r="E361" s="19">
        <v>2</v>
      </c>
      <c r="F361" s="19"/>
      <c r="G361" s="19">
        <v>880</v>
      </c>
      <c r="H361" s="19">
        <v>14.1</v>
      </c>
      <c r="I361" s="19"/>
      <c r="J361" s="19" t="s">
        <v>154</v>
      </c>
      <c r="K361" s="19" t="b">
        <v>1</v>
      </c>
      <c r="L361" s="15">
        <v>2013</v>
      </c>
      <c r="M361" s="16">
        <v>835135</v>
      </c>
      <c r="N361" s="20">
        <v>41453</v>
      </c>
      <c r="O361" s="20">
        <v>41453</v>
      </c>
    </row>
    <row r="362" spans="1:15" ht="14.25">
      <c r="A362" s="17">
        <v>2013</v>
      </c>
      <c r="B362" s="18" t="s">
        <v>482</v>
      </c>
      <c r="C362" s="18" t="s">
        <v>483</v>
      </c>
      <c r="D362" s="19">
        <v>3021062</v>
      </c>
      <c r="E362" s="19">
        <v>2</v>
      </c>
      <c r="F362" s="19"/>
      <c r="G362" s="19">
        <v>310</v>
      </c>
      <c r="H362" s="19">
        <v>5.1</v>
      </c>
      <c r="I362" s="19"/>
      <c r="J362" s="19" t="s">
        <v>84</v>
      </c>
      <c r="K362" s="19" t="b">
        <v>1</v>
      </c>
      <c r="L362" s="15">
        <v>2023</v>
      </c>
      <c r="M362" s="16">
        <v>669451</v>
      </c>
      <c r="N362" s="20">
        <v>41453</v>
      </c>
      <c r="O362" s="20">
        <v>41453</v>
      </c>
    </row>
    <row r="363" spans="1:15" ht="14.25">
      <c r="A363" s="17">
        <v>2013</v>
      </c>
      <c r="B363" s="18" t="s">
        <v>482</v>
      </c>
      <c r="C363" s="18" t="s">
        <v>483</v>
      </c>
      <c r="D363" s="19">
        <v>3021062</v>
      </c>
      <c r="E363" s="19">
        <v>2</v>
      </c>
      <c r="F363" s="19"/>
      <c r="G363" s="19">
        <v>600</v>
      </c>
      <c r="H363" s="19">
        <v>11.3</v>
      </c>
      <c r="I363" s="19" t="s">
        <v>491</v>
      </c>
      <c r="J363" s="19" t="s">
        <v>116</v>
      </c>
      <c r="K363" s="19" t="b">
        <v>1</v>
      </c>
      <c r="L363" s="15">
        <v>2013</v>
      </c>
      <c r="M363" s="16">
        <v>274992</v>
      </c>
      <c r="N363" s="20">
        <v>41453</v>
      </c>
      <c r="O363" s="20">
        <v>41453</v>
      </c>
    </row>
    <row r="364" spans="1:15" ht="14.25">
      <c r="A364" s="17">
        <v>2013</v>
      </c>
      <c r="B364" s="18" t="s">
        <v>482</v>
      </c>
      <c r="C364" s="18" t="s">
        <v>483</v>
      </c>
      <c r="D364" s="19">
        <v>3021062</v>
      </c>
      <c r="E364" s="19">
        <v>2</v>
      </c>
      <c r="F364" s="19"/>
      <c r="G364" s="19">
        <v>550</v>
      </c>
      <c r="H364" s="19">
        <v>10</v>
      </c>
      <c r="I364" s="19"/>
      <c r="J364" s="19" t="s">
        <v>111</v>
      </c>
      <c r="K364" s="19" t="b">
        <v>0</v>
      </c>
      <c r="L364" s="15">
        <v>2022</v>
      </c>
      <c r="M364" s="16">
        <v>716851</v>
      </c>
      <c r="N364" s="20">
        <v>41453</v>
      </c>
      <c r="O364" s="20">
        <v>41453</v>
      </c>
    </row>
    <row r="365" spans="1:15" ht="14.25">
      <c r="A365" s="17">
        <v>2013</v>
      </c>
      <c r="B365" s="18" t="s">
        <v>482</v>
      </c>
      <c r="C365" s="18" t="s">
        <v>483</v>
      </c>
      <c r="D365" s="19">
        <v>3021062</v>
      </c>
      <c r="E365" s="19">
        <v>2</v>
      </c>
      <c r="F365" s="19"/>
      <c r="G365" s="19">
        <v>510</v>
      </c>
      <c r="H365" s="19">
        <v>9.7</v>
      </c>
      <c r="I365" s="19"/>
      <c r="J365" s="19" t="s">
        <v>499</v>
      </c>
      <c r="K365" s="19" t="b">
        <v>1</v>
      </c>
      <c r="L365" s="15">
        <v>2024</v>
      </c>
      <c r="M365" s="16">
        <v>0.1245</v>
      </c>
      <c r="N365" s="20">
        <v>41453</v>
      </c>
      <c r="O365" s="20">
        <v>41453</v>
      </c>
    </row>
    <row r="366" spans="1:15" ht="14.25">
      <c r="A366" s="17">
        <v>2013</v>
      </c>
      <c r="B366" s="18" t="s">
        <v>482</v>
      </c>
      <c r="C366" s="18" t="s">
        <v>483</v>
      </c>
      <c r="D366" s="19">
        <v>3021062</v>
      </c>
      <c r="E366" s="19">
        <v>2</v>
      </c>
      <c r="F366" s="19"/>
      <c r="G366" s="19">
        <v>120</v>
      </c>
      <c r="H366" s="19">
        <v>2</v>
      </c>
      <c r="I366" s="19" t="s">
        <v>492</v>
      </c>
      <c r="J366" s="19" t="s">
        <v>21</v>
      </c>
      <c r="K366" s="19" t="b">
        <v>0</v>
      </c>
      <c r="L366" s="15">
        <v>2022</v>
      </c>
      <c r="M366" s="16">
        <v>23220149</v>
      </c>
      <c r="N366" s="20">
        <v>41453</v>
      </c>
      <c r="O366" s="20">
        <v>41453</v>
      </c>
    </row>
    <row r="367" spans="1:15" ht="14.25">
      <c r="A367" s="17">
        <v>2013</v>
      </c>
      <c r="B367" s="18" t="s">
        <v>482</v>
      </c>
      <c r="C367" s="18" t="s">
        <v>483</v>
      </c>
      <c r="D367" s="19">
        <v>3021062</v>
      </c>
      <c r="E367" s="19">
        <v>2</v>
      </c>
      <c r="F367" s="19"/>
      <c r="G367" s="19">
        <v>560</v>
      </c>
      <c r="H367" s="19">
        <v>10.1</v>
      </c>
      <c r="I367" s="19"/>
      <c r="J367" s="19" t="s">
        <v>112</v>
      </c>
      <c r="K367" s="19" t="b">
        <v>0</v>
      </c>
      <c r="L367" s="15">
        <v>2016</v>
      </c>
      <c r="M367" s="16">
        <v>915135</v>
      </c>
      <c r="N367" s="20">
        <v>41453</v>
      </c>
      <c r="O367" s="20">
        <v>41453</v>
      </c>
    </row>
    <row r="368" spans="1:15" ht="14.25">
      <c r="A368" s="17">
        <v>2013</v>
      </c>
      <c r="B368" s="18" t="s">
        <v>482</v>
      </c>
      <c r="C368" s="18" t="s">
        <v>483</v>
      </c>
      <c r="D368" s="19">
        <v>3021062</v>
      </c>
      <c r="E368" s="19">
        <v>2</v>
      </c>
      <c r="F368" s="19"/>
      <c r="G368" s="19">
        <v>450</v>
      </c>
      <c r="H368" s="19">
        <v>9.1</v>
      </c>
      <c r="I368" s="19" t="s">
        <v>486</v>
      </c>
      <c r="J368" s="19" t="s">
        <v>98</v>
      </c>
      <c r="K368" s="19" t="b">
        <v>1</v>
      </c>
      <c r="L368" s="15">
        <v>2020</v>
      </c>
      <c r="M368" s="16">
        <v>0.0324</v>
      </c>
      <c r="N368" s="20">
        <v>41453</v>
      </c>
      <c r="O368" s="20">
        <v>41453</v>
      </c>
    </row>
    <row r="369" spans="1:15" ht="14.25">
      <c r="A369" s="17">
        <v>2013</v>
      </c>
      <c r="B369" s="18" t="s">
        <v>482</v>
      </c>
      <c r="C369" s="18" t="s">
        <v>483</v>
      </c>
      <c r="D369" s="19">
        <v>3021062</v>
      </c>
      <c r="E369" s="19">
        <v>2</v>
      </c>
      <c r="F369" s="19"/>
      <c r="G369" s="19">
        <v>520</v>
      </c>
      <c r="H369" s="19" t="s">
        <v>106</v>
      </c>
      <c r="I369" s="19"/>
      <c r="J369" s="19" t="s">
        <v>493</v>
      </c>
      <c r="K369" s="19" t="b">
        <v>1</v>
      </c>
      <c r="L369" s="15">
        <v>2024</v>
      </c>
      <c r="M369" s="16">
        <v>0.1245</v>
      </c>
      <c r="N369" s="20">
        <v>41453</v>
      </c>
      <c r="O369" s="20">
        <v>41453</v>
      </c>
    </row>
    <row r="370" spans="1:15" ht="14.25">
      <c r="A370" s="17">
        <v>2013</v>
      </c>
      <c r="B370" s="18" t="s">
        <v>482</v>
      </c>
      <c r="C370" s="18" t="s">
        <v>483</v>
      </c>
      <c r="D370" s="19">
        <v>3021062</v>
      </c>
      <c r="E370" s="19">
        <v>2</v>
      </c>
      <c r="F370" s="19"/>
      <c r="G370" s="19">
        <v>470</v>
      </c>
      <c r="H370" s="19">
        <v>9.3</v>
      </c>
      <c r="I370" s="19" t="s">
        <v>486</v>
      </c>
      <c r="J370" s="19" t="s">
        <v>495</v>
      </c>
      <c r="K370" s="19" t="b">
        <v>1</v>
      </c>
      <c r="L370" s="15">
        <v>2014</v>
      </c>
      <c r="M370" s="16">
        <v>0.0626</v>
      </c>
      <c r="N370" s="20">
        <v>41453</v>
      </c>
      <c r="O370" s="20">
        <v>41453</v>
      </c>
    </row>
    <row r="371" spans="1:15" ht="14.25">
      <c r="A371" s="17">
        <v>2013</v>
      </c>
      <c r="B371" s="18" t="s">
        <v>482</v>
      </c>
      <c r="C371" s="18" t="s">
        <v>483</v>
      </c>
      <c r="D371" s="19">
        <v>3021062</v>
      </c>
      <c r="E371" s="19">
        <v>2</v>
      </c>
      <c r="F371" s="19"/>
      <c r="G371" s="19">
        <v>280</v>
      </c>
      <c r="H371" s="19">
        <v>4.4</v>
      </c>
      <c r="I371" s="19"/>
      <c r="J371" s="19" t="s">
        <v>81</v>
      </c>
      <c r="K371" s="19" t="b">
        <v>0</v>
      </c>
      <c r="L371" s="15">
        <v>2013</v>
      </c>
      <c r="M371" s="16">
        <v>180996</v>
      </c>
      <c r="N371" s="20">
        <v>41453</v>
      </c>
      <c r="O371" s="20">
        <v>41453</v>
      </c>
    </row>
    <row r="372" spans="1:15" ht="14.25">
      <c r="A372" s="17">
        <v>2013</v>
      </c>
      <c r="B372" s="18" t="s">
        <v>482</v>
      </c>
      <c r="C372" s="18" t="s">
        <v>483</v>
      </c>
      <c r="D372" s="19">
        <v>3021062</v>
      </c>
      <c r="E372" s="19">
        <v>2</v>
      </c>
      <c r="F372" s="19"/>
      <c r="G372" s="19">
        <v>390</v>
      </c>
      <c r="H372" s="19">
        <v>6.3</v>
      </c>
      <c r="I372" s="19" t="s">
        <v>489</v>
      </c>
      <c r="J372" s="19" t="s">
        <v>94</v>
      </c>
      <c r="K372" s="19" t="b">
        <v>0</v>
      </c>
      <c r="L372" s="15">
        <v>2016</v>
      </c>
      <c r="M372" s="16">
        <v>0.2751</v>
      </c>
      <c r="N372" s="20">
        <v>41453</v>
      </c>
      <c r="O372" s="20">
        <v>41453</v>
      </c>
    </row>
    <row r="373" spans="1:15" ht="14.25">
      <c r="A373" s="17">
        <v>2013</v>
      </c>
      <c r="B373" s="18" t="s">
        <v>482</v>
      </c>
      <c r="C373" s="18" t="s">
        <v>483</v>
      </c>
      <c r="D373" s="19">
        <v>3021062</v>
      </c>
      <c r="E373" s="19">
        <v>2</v>
      </c>
      <c r="F373" s="19"/>
      <c r="G373" s="19">
        <v>580</v>
      </c>
      <c r="H373" s="19">
        <v>11.1</v>
      </c>
      <c r="I373" s="19"/>
      <c r="J373" s="19" t="s">
        <v>114</v>
      </c>
      <c r="K373" s="19" t="b">
        <v>0</v>
      </c>
      <c r="L373" s="15">
        <v>2015</v>
      </c>
      <c r="M373" s="16">
        <v>8019000</v>
      </c>
      <c r="N373" s="20">
        <v>41453</v>
      </c>
      <c r="O373" s="20">
        <v>41453</v>
      </c>
    </row>
    <row r="374" spans="1:15" ht="14.25">
      <c r="A374" s="17">
        <v>2013</v>
      </c>
      <c r="B374" s="18" t="s">
        <v>482</v>
      </c>
      <c r="C374" s="18" t="s">
        <v>483</v>
      </c>
      <c r="D374" s="19">
        <v>3021062</v>
      </c>
      <c r="E374" s="19">
        <v>2</v>
      </c>
      <c r="F374" s="19"/>
      <c r="G374" s="19">
        <v>390</v>
      </c>
      <c r="H374" s="19">
        <v>6.3</v>
      </c>
      <c r="I374" s="19" t="s">
        <v>489</v>
      </c>
      <c r="J374" s="19" t="s">
        <v>94</v>
      </c>
      <c r="K374" s="19" t="b">
        <v>0</v>
      </c>
      <c r="L374" s="15">
        <v>2022</v>
      </c>
      <c r="M374" s="16">
        <v>0.0469</v>
      </c>
      <c r="N374" s="20">
        <v>41453</v>
      </c>
      <c r="O374" s="20">
        <v>41453</v>
      </c>
    </row>
    <row r="375" spans="1:15" ht="14.25">
      <c r="A375" s="17">
        <v>2013</v>
      </c>
      <c r="B375" s="18" t="s">
        <v>482</v>
      </c>
      <c r="C375" s="18" t="s">
        <v>483</v>
      </c>
      <c r="D375" s="19">
        <v>3021062</v>
      </c>
      <c r="E375" s="19">
        <v>2</v>
      </c>
      <c r="F375" s="19"/>
      <c r="G375" s="19">
        <v>390</v>
      </c>
      <c r="H375" s="19">
        <v>6.3</v>
      </c>
      <c r="I375" s="19" t="s">
        <v>489</v>
      </c>
      <c r="J375" s="19" t="s">
        <v>94</v>
      </c>
      <c r="K375" s="19" t="b">
        <v>0</v>
      </c>
      <c r="L375" s="15">
        <v>2013</v>
      </c>
      <c r="M375" s="16">
        <v>0.3187</v>
      </c>
      <c r="N375" s="20">
        <v>41453</v>
      </c>
      <c r="O375" s="20">
        <v>41453</v>
      </c>
    </row>
    <row r="376" spans="1:15" ht="14.25">
      <c r="A376" s="17">
        <v>2013</v>
      </c>
      <c r="B376" s="18" t="s">
        <v>482</v>
      </c>
      <c r="C376" s="18" t="s">
        <v>483</v>
      </c>
      <c r="D376" s="19">
        <v>3021062</v>
      </c>
      <c r="E376" s="19">
        <v>2</v>
      </c>
      <c r="F376" s="19"/>
      <c r="G376" s="19">
        <v>510</v>
      </c>
      <c r="H376" s="19">
        <v>9.7</v>
      </c>
      <c r="I376" s="19"/>
      <c r="J376" s="19" t="s">
        <v>499</v>
      </c>
      <c r="K376" s="19" t="b">
        <v>1</v>
      </c>
      <c r="L376" s="15">
        <v>2016</v>
      </c>
      <c r="M376" s="16">
        <v>0.0704</v>
      </c>
      <c r="N376" s="20">
        <v>41453</v>
      </c>
      <c r="O376" s="20">
        <v>41453</v>
      </c>
    </row>
    <row r="377" spans="1:15" ht="14.25">
      <c r="A377" s="17">
        <v>2013</v>
      </c>
      <c r="B377" s="18" t="s">
        <v>482</v>
      </c>
      <c r="C377" s="18" t="s">
        <v>483</v>
      </c>
      <c r="D377" s="19">
        <v>3021062</v>
      </c>
      <c r="E377" s="19">
        <v>2</v>
      </c>
      <c r="F377" s="19"/>
      <c r="G377" s="19">
        <v>550</v>
      </c>
      <c r="H377" s="19">
        <v>10</v>
      </c>
      <c r="I377" s="19"/>
      <c r="J377" s="19" t="s">
        <v>111</v>
      </c>
      <c r="K377" s="19" t="b">
        <v>0</v>
      </c>
      <c r="L377" s="15">
        <v>2013</v>
      </c>
      <c r="M377" s="16">
        <v>338258</v>
      </c>
      <c r="N377" s="20">
        <v>41453</v>
      </c>
      <c r="O377" s="20">
        <v>41453</v>
      </c>
    </row>
    <row r="378" spans="1:15" ht="14.25">
      <c r="A378" s="17">
        <v>2013</v>
      </c>
      <c r="B378" s="18" t="s">
        <v>482</v>
      </c>
      <c r="C378" s="18" t="s">
        <v>483</v>
      </c>
      <c r="D378" s="19">
        <v>3021062</v>
      </c>
      <c r="E378" s="19">
        <v>2</v>
      </c>
      <c r="F378" s="19"/>
      <c r="G378" s="19">
        <v>470</v>
      </c>
      <c r="H378" s="19">
        <v>9.3</v>
      </c>
      <c r="I378" s="19" t="s">
        <v>486</v>
      </c>
      <c r="J378" s="19" t="s">
        <v>495</v>
      </c>
      <c r="K378" s="19" t="b">
        <v>1</v>
      </c>
      <c r="L378" s="15">
        <v>2022</v>
      </c>
      <c r="M378" s="16">
        <v>0.0337</v>
      </c>
      <c r="N378" s="20">
        <v>41453</v>
      </c>
      <c r="O378" s="20">
        <v>41453</v>
      </c>
    </row>
    <row r="379" spans="1:15" ht="14.25">
      <c r="A379" s="17">
        <v>2013</v>
      </c>
      <c r="B379" s="18" t="s">
        <v>482</v>
      </c>
      <c r="C379" s="18" t="s">
        <v>483</v>
      </c>
      <c r="D379" s="19">
        <v>3021062</v>
      </c>
      <c r="E379" s="19">
        <v>2</v>
      </c>
      <c r="F379" s="19"/>
      <c r="G379" s="19">
        <v>450</v>
      </c>
      <c r="H379" s="19">
        <v>9.1</v>
      </c>
      <c r="I379" s="19" t="s">
        <v>486</v>
      </c>
      <c r="J379" s="19" t="s">
        <v>98</v>
      </c>
      <c r="K379" s="19" t="b">
        <v>1</v>
      </c>
      <c r="L379" s="15">
        <v>2023</v>
      </c>
      <c r="M379" s="16">
        <v>0.0295</v>
      </c>
      <c r="N379" s="20">
        <v>41453</v>
      </c>
      <c r="O379" s="20">
        <v>41453</v>
      </c>
    </row>
    <row r="380" spans="1:15" ht="14.25">
      <c r="A380" s="17">
        <v>2013</v>
      </c>
      <c r="B380" s="18" t="s">
        <v>482</v>
      </c>
      <c r="C380" s="18" t="s">
        <v>483</v>
      </c>
      <c r="D380" s="19">
        <v>3021062</v>
      </c>
      <c r="E380" s="19">
        <v>2</v>
      </c>
      <c r="F380" s="19"/>
      <c r="G380" s="19">
        <v>300</v>
      </c>
      <c r="H380" s="19">
        <v>5</v>
      </c>
      <c r="I380" s="19" t="s">
        <v>496</v>
      </c>
      <c r="J380" s="19" t="s">
        <v>83</v>
      </c>
      <c r="K380" s="19" t="b">
        <v>0</v>
      </c>
      <c r="L380" s="15">
        <v>2013</v>
      </c>
      <c r="M380" s="16">
        <v>835135</v>
      </c>
      <c r="N380" s="20">
        <v>41453</v>
      </c>
      <c r="O380" s="20">
        <v>41453</v>
      </c>
    </row>
    <row r="381" spans="1:15" ht="14.25">
      <c r="A381" s="17">
        <v>2013</v>
      </c>
      <c r="B381" s="18" t="s">
        <v>482</v>
      </c>
      <c r="C381" s="18" t="s">
        <v>483</v>
      </c>
      <c r="D381" s="19">
        <v>3021062</v>
      </c>
      <c r="E381" s="19">
        <v>2</v>
      </c>
      <c r="F381" s="19"/>
      <c r="G381" s="19">
        <v>50</v>
      </c>
      <c r="H381" s="19" t="s">
        <v>48</v>
      </c>
      <c r="I381" s="19"/>
      <c r="J381" s="19" t="s">
        <v>49</v>
      </c>
      <c r="K381" s="19" t="b">
        <v>1</v>
      </c>
      <c r="L381" s="15">
        <v>2014</v>
      </c>
      <c r="M381" s="16">
        <v>3887000</v>
      </c>
      <c r="N381" s="20">
        <v>41453</v>
      </c>
      <c r="O381" s="20">
        <v>41453</v>
      </c>
    </row>
    <row r="382" spans="1:15" ht="14.25">
      <c r="A382" s="17">
        <v>2013</v>
      </c>
      <c r="B382" s="18" t="s">
        <v>482</v>
      </c>
      <c r="C382" s="18" t="s">
        <v>483</v>
      </c>
      <c r="D382" s="19">
        <v>3021062</v>
      </c>
      <c r="E382" s="19">
        <v>2</v>
      </c>
      <c r="F382" s="19"/>
      <c r="G382" s="19">
        <v>310</v>
      </c>
      <c r="H382" s="19">
        <v>5.1</v>
      </c>
      <c r="I382" s="19"/>
      <c r="J382" s="19" t="s">
        <v>84</v>
      </c>
      <c r="K382" s="19" t="b">
        <v>1</v>
      </c>
      <c r="L382" s="15">
        <v>2015</v>
      </c>
      <c r="M382" s="16">
        <v>875135</v>
      </c>
      <c r="N382" s="20">
        <v>41453</v>
      </c>
      <c r="O382" s="20">
        <v>41453</v>
      </c>
    </row>
    <row r="383" spans="1:15" ht="14.25">
      <c r="A383" s="17">
        <v>2013</v>
      </c>
      <c r="B383" s="18" t="s">
        <v>482</v>
      </c>
      <c r="C383" s="18" t="s">
        <v>483</v>
      </c>
      <c r="D383" s="19">
        <v>3021062</v>
      </c>
      <c r="E383" s="19">
        <v>2</v>
      </c>
      <c r="F383" s="19"/>
      <c r="G383" s="19">
        <v>180</v>
      </c>
      <c r="H383" s="19" t="s">
        <v>70</v>
      </c>
      <c r="I383" s="19"/>
      <c r="J383" s="19" t="s">
        <v>71</v>
      </c>
      <c r="K383" s="19" t="b">
        <v>0</v>
      </c>
      <c r="L383" s="15">
        <v>2017</v>
      </c>
      <c r="M383" s="16">
        <v>285000</v>
      </c>
      <c r="N383" s="20">
        <v>41453</v>
      </c>
      <c r="O383" s="20">
        <v>41453</v>
      </c>
    </row>
    <row r="384" spans="1:15" ht="14.25">
      <c r="A384" s="17">
        <v>2013</v>
      </c>
      <c r="B384" s="18" t="s">
        <v>482</v>
      </c>
      <c r="C384" s="18" t="s">
        <v>483</v>
      </c>
      <c r="D384" s="19">
        <v>3021062</v>
      </c>
      <c r="E384" s="19">
        <v>2</v>
      </c>
      <c r="F384" s="19"/>
      <c r="G384" s="19">
        <v>90</v>
      </c>
      <c r="H384" s="19">
        <v>1.2</v>
      </c>
      <c r="I384" s="19"/>
      <c r="J384" s="19" t="s">
        <v>56</v>
      </c>
      <c r="K384" s="19" t="b">
        <v>1</v>
      </c>
      <c r="L384" s="15">
        <v>2014</v>
      </c>
      <c r="M384" s="16">
        <v>550000</v>
      </c>
      <c r="N384" s="20">
        <v>41453</v>
      </c>
      <c r="O384" s="20">
        <v>41453</v>
      </c>
    </row>
    <row r="385" spans="1:15" ht="14.25">
      <c r="A385" s="17">
        <v>2013</v>
      </c>
      <c r="B385" s="18" t="s">
        <v>482</v>
      </c>
      <c r="C385" s="18" t="s">
        <v>483</v>
      </c>
      <c r="D385" s="19">
        <v>3021062</v>
      </c>
      <c r="E385" s="19">
        <v>2</v>
      </c>
      <c r="F385" s="19"/>
      <c r="G385" s="19">
        <v>200</v>
      </c>
      <c r="H385" s="19">
        <v>3</v>
      </c>
      <c r="I385" s="19" t="s">
        <v>488</v>
      </c>
      <c r="J385" s="19" t="s">
        <v>23</v>
      </c>
      <c r="K385" s="19" t="b">
        <v>0</v>
      </c>
      <c r="L385" s="15">
        <v>2023</v>
      </c>
      <c r="M385" s="16">
        <v>669451</v>
      </c>
      <c r="N385" s="20">
        <v>41453</v>
      </c>
      <c r="O385" s="20">
        <v>41453</v>
      </c>
    </row>
    <row r="386" spans="1:15" ht="14.25">
      <c r="A386" s="17">
        <v>2013</v>
      </c>
      <c r="B386" s="18" t="s">
        <v>482</v>
      </c>
      <c r="C386" s="18" t="s">
        <v>483</v>
      </c>
      <c r="D386" s="19">
        <v>3021062</v>
      </c>
      <c r="E386" s="19">
        <v>2</v>
      </c>
      <c r="F386" s="19"/>
      <c r="G386" s="19">
        <v>350</v>
      </c>
      <c r="H386" s="19">
        <v>6</v>
      </c>
      <c r="I386" s="19"/>
      <c r="J386" s="19" t="s">
        <v>27</v>
      </c>
      <c r="K386" s="19" t="b">
        <v>1</v>
      </c>
      <c r="L386" s="15">
        <v>2016</v>
      </c>
      <c r="M386" s="16">
        <v>5695255</v>
      </c>
      <c r="N386" s="20">
        <v>41453</v>
      </c>
      <c r="O386" s="20">
        <v>41453</v>
      </c>
    </row>
    <row r="387" spans="1:15" ht="14.25">
      <c r="A387" s="17">
        <v>2013</v>
      </c>
      <c r="B387" s="18" t="s">
        <v>482</v>
      </c>
      <c r="C387" s="18" t="s">
        <v>483</v>
      </c>
      <c r="D387" s="19">
        <v>3021062</v>
      </c>
      <c r="E387" s="19">
        <v>2</v>
      </c>
      <c r="F387" s="19"/>
      <c r="G387" s="19">
        <v>600</v>
      </c>
      <c r="H387" s="19">
        <v>11.3</v>
      </c>
      <c r="I387" s="19" t="s">
        <v>491</v>
      </c>
      <c r="J387" s="19" t="s">
        <v>116</v>
      </c>
      <c r="K387" s="19" t="b">
        <v>1</v>
      </c>
      <c r="L387" s="15">
        <v>2014</v>
      </c>
      <c r="M387" s="16">
        <v>1305379</v>
      </c>
      <c r="N387" s="20">
        <v>41453</v>
      </c>
      <c r="O387" s="20">
        <v>41453</v>
      </c>
    </row>
    <row r="388" spans="1:15" ht="14.25">
      <c r="A388" s="17">
        <v>2013</v>
      </c>
      <c r="B388" s="18" t="s">
        <v>482</v>
      </c>
      <c r="C388" s="18" t="s">
        <v>483</v>
      </c>
      <c r="D388" s="19">
        <v>3021062</v>
      </c>
      <c r="E388" s="19">
        <v>2</v>
      </c>
      <c r="F388" s="19"/>
      <c r="G388" s="19">
        <v>170</v>
      </c>
      <c r="H388" s="19" t="s">
        <v>68</v>
      </c>
      <c r="I388" s="19"/>
      <c r="J388" s="19" t="s">
        <v>69</v>
      </c>
      <c r="K388" s="19" t="b">
        <v>1</v>
      </c>
      <c r="L388" s="15">
        <v>2015</v>
      </c>
      <c r="M388" s="16">
        <v>329000</v>
      </c>
      <c r="N388" s="20">
        <v>41453</v>
      </c>
      <c r="O388" s="20">
        <v>41453</v>
      </c>
    </row>
    <row r="389" spans="1:15" ht="14.25">
      <c r="A389" s="17">
        <v>2013</v>
      </c>
      <c r="B389" s="18" t="s">
        <v>482</v>
      </c>
      <c r="C389" s="18" t="s">
        <v>483</v>
      </c>
      <c r="D389" s="19">
        <v>3021062</v>
      </c>
      <c r="E389" s="19">
        <v>2</v>
      </c>
      <c r="F389" s="19"/>
      <c r="G389" s="19">
        <v>450</v>
      </c>
      <c r="H389" s="19">
        <v>9.1</v>
      </c>
      <c r="I389" s="19" t="s">
        <v>486</v>
      </c>
      <c r="J389" s="19" t="s">
        <v>98</v>
      </c>
      <c r="K389" s="19" t="b">
        <v>1</v>
      </c>
      <c r="L389" s="15">
        <v>2019</v>
      </c>
      <c r="M389" s="16">
        <v>0.0434</v>
      </c>
      <c r="N389" s="20">
        <v>41453</v>
      </c>
      <c r="O389" s="20">
        <v>41453</v>
      </c>
    </row>
    <row r="390" spans="1:15" ht="14.25">
      <c r="A390" s="17">
        <v>2013</v>
      </c>
      <c r="B390" s="18" t="s">
        <v>482</v>
      </c>
      <c r="C390" s="18" t="s">
        <v>483</v>
      </c>
      <c r="D390" s="19">
        <v>3021062</v>
      </c>
      <c r="E390" s="19">
        <v>2</v>
      </c>
      <c r="F390" s="19"/>
      <c r="G390" s="19">
        <v>540</v>
      </c>
      <c r="H390" s="19" t="s">
        <v>109</v>
      </c>
      <c r="I390" s="19" t="s">
        <v>502</v>
      </c>
      <c r="J390" s="19" t="s">
        <v>110</v>
      </c>
      <c r="K390" s="19" t="b">
        <v>0</v>
      </c>
      <c r="L390" s="15">
        <v>2023</v>
      </c>
      <c r="M390" s="16">
        <v>850</v>
      </c>
      <c r="N390" s="20">
        <v>41453</v>
      </c>
      <c r="O390" s="20">
        <v>41453</v>
      </c>
    </row>
    <row r="391" spans="1:15" ht="14.25">
      <c r="A391" s="17">
        <v>2013</v>
      </c>
      <c r="B391" s="18" t="s">
        <v>482</v>
      </c>
      <c r="C391" s="18" t="s">
        <v>483</v>
      </c>
      <c r="D391" s="19">
        <v>3021062</v>
      </c>
      <c r="E391" s="19">
        <v>2</v>
      </c>
      <c r="F391" s="19"/>
      <c r="G391" s="19">
        <v>380</v>
      </c>
      <c r="H391" s="19">
        <v>6.2</v>
      </c>
      <c r="I391" s="19" t="s">
        <v>500</v>
      </c>
      <c r="J391" s="19" t="s">
        <v>93</v>
      </c>
      <c r="K391" s="19" t="b">
        <v>0</v>
      </c>
      <c r="L391" s="15">
        <v>2018</v>
      </c>
      <c r="M391" s="16">
        <v>0.1787</v>
      </c>
      <c r="N391" s="20">
        <v>41453</v>
      </c>
      <c r="O391" s="20">
        <v>41453</v>
      </c>
    </row>
    <row r="392" spans="1:15" ht="14.25">
      <c r="A392" s="17">
        <v>2013</v>
      </c>
      <c r="B392" s="18" t="s">
        <v>482</v>
      </c>
      <c r="C392" s="18" t="s">
        <v>483</v>
      </c>
      <c r="D392" s="19">
        <v>3021062</v>
      </c>
      <c r="E392" s="19">
        <v>2</v>
      </c>
      <c r="F392" s="19"/>
      <c r="G392" s="19">
        <v>170</v>
      </c>
      <c r="H392" s="19" t="s">
        <v>68</v>
      </c>
      <c r="I392" s="19"/>
      <c r="J392" s="19" t="s">
        <v>69</v>
      </c>
      <c r="K392" s="19" t="b">
        <v>1</v>
      </c>
      <c r="L392" s="15">
        <v>2024</v>
      </c>
      <c r="M392" s="16">
        <v>18000</v>
      </c>
      <c r="N392" s="20">
        <v>41453</v>
      </c>
      <c r="O392" s="20">
        <v>41453</v>
      </c>
    </row>
    <row r="393" spans="1:15" ht="14.25">
      <c r="A393" s="17">
        <v>2013</v>
      </c>
      <c r="B393" s="18" t="s">
        <v>482</v>
      </c>
      <c r="C393" s="18" t="s">
        <v>483</v>
      </c>
      <c r="D393" s="19">
        <v>3021062</v>
      </c>
      <c r="E393" s="19">
        <v>2</v>
      </c>
      <c r="F393" s="19"/>
      <c r="G393" s="19">
        <v>670</v>
      </c>
      <c r="H393" s="19">
        <v>12.1</v>
      </c>
      <c r="I393" s="19"/>
      <c r="J393" s="19" t="s">
        <v>125</v>
      </c>
      <c r="K393" s="19" t="b">
        <v>1</v>
      </c>
      <c r="L393" s="15">
        <v>2013</v>
      </c>
      <c r="M393" s="16">
        <v>188408.32</v>
      </c>
      <c r="N393" s="20">
        <v>41453</v>
      </c>
      <c r="O393" s="20">
        <v>41453</v>
      </c>
    </row>
    <row r="394" spans="1:15" ht="14.25">
      <c r="A394" s="17">
        <v>2013</v>
      </c>
      <c r="B394" s="18" t="s">
        <v>482</v>
      </c>
      <c r="C394" s="18" t="s">
        <v>483</v>
      </c>
      <c r="D394" s="19">
        <v>3021062</v>
      </c>
      <c r="E394" s="19">
        <v>2</v>
      </c>
      <c r="F394" s="19"/>
      <c r="G394" s="19">
        <v>200</v>
      </c>
      <c r="H394" s="19">
        <v>3</v>
      </c>
      <c r="I394" s="19" t="s">
        <v>488</v>
      </c>
      <c r="J394" s="19" t="s">
        <v>23</v>
      </c>
      <c r="K394" s="19" t="b">
        <v>0</v>
      </c>
      <c r="L394" s="15">
        <v>2020</v>
      </c>
      <c r="M394" s="16">
        <v>581551</v>
      </c>
      <c r="N394" s="20">
        <v>41453</v>
      </c>
      <c r="O394" s="20">
        <v>41453</v>
      </c>
    </row>
    <row r="395" spans="1:15" ht="14.25">
      <c r="A395" s="17">
        <v>2013</v>
      </c>
      <c r="B395" s="18" t="s">
        <v>482</v>
      </c>
      <c r="C395" s="18" t="s">
        <v>483</v>
      </c>
      <c r="D395" s="19">
        <v>3021062</v>
      </c>
      <c r="E395" s="19">
        <v>2</v>
      </c>
      <c r="F395" s="19"/>
      <c r="G395" s="19">
        <v>460</v>
      </c>
      <c r="H395" s="19">
        <v>9.2</v>
      </c>
      <c r="I395" s="19" t="s">
        <v>484</v>
      </c>
      <c r="J395" s="19" t="s">
        <v>99</v>
      </c>
      <c r="K395" s="19" t="b">
        <v>0</v>
      </c>
      <c r="L395" s="15">
        <v>2023</v>
      </c>
      <c r="M395" s="16">
        <v>0.0295</v>
      </c>
      <c r="N395" s="20">
        <v>41453</v>
      </c>
      <c r="O395" s="20">
        <v>41453</v>
      </c>
    </row>
    <row r="396" spans="1:15" ht="14.25">
      <c r="A396" s="17">
        <v>2013</v>
      </c>
      <c r="B396" s="18" t="s">
        <v>482</v>
      </c>
      <c r="C396" s="18" t="s">
        <v>483</v>
      </c>
      <c r="D396" s="19">
        <v>3021062</v>
      </c>
      <c r="E396" s="19">
        <v>2</v>
      </c>
      <c r="F396" s="19"/>
      <c r="G396" s="19">
        <v>880</v>
      </c>
      <c r="H396" s="19">
        <v>14.1</v>
      </c>
      <c r="I396" s="19"/>
      <c r="J396" s="19" t="s">
        <v>154</v>
      </c>
      <c r="K396" s="19" t="b">
        <v>1</v>
      </c>
      <c r="L396" s="15">
        <v>2020</v>
      </c>
      <c r="M396" s="16">
        <v>501551</v>
      </c>
      <c r="N396" s="20">
        <v>41453</v>
      </c>
      <c r="O396" s="20">
        <v>41453</v>
      </c>
    </row>
    <row r="397" spans="1:15" ht="14.25">
      <c r="A397" s="17">
        <v>2013</v>
      </c>
      <c r="B397" s="18" t="s">
        <v>482</v>
      </c>
      <c r="C397" s="18" t="s">
        <v>483</v>
      </c>
      <c r="D397" s="19">
        <v>3021062</v>
      </c>
      <c r="E397" s="19">
        <v>2</v>
      </c>
      <c r="F397" s="19"/>
      <c r="G397" s="19">
        <v>190</v>
      </c>
      <c r="H397" s="19">
        <v>2.2</v>
      </c>
      <c r="I397" s="19"/>
      <c r="J397" s="19" t="s">
        <v>72</v>
      </c>
      <c r="K397" s="19" t="b">
        <v>0</v>
      </c>
      <c r="L397" s="15">
        <v>2016</v>
      </c>
      <c r="M397" s="16">
        <v>583865</v>
      </c>
      <c r="N397" s="20">
        <v>41453</v>
      </c>
      <c r="O397" s="20">
        <v>41453</v>
      </c>
    </row>
    <row r="398" spans="1:15" ht="14.25">
      <c r="A398" s="17">
        <v>2013</v>
      </c>
      <c r="B398" s="18" t="s">
        <v>482</v>
      </c>
      <c r="C398" s="18" t="s">
        <v>483</v>
      </c>
      <c r="D398" s="19">
        <v>3021062</v>
      </c>
      <c r="E398" s="19">
        <v>2</v>
      </c>
      <c r="F398" s="19"/>
      <c r="G398" s="19">
        <v>760</v>
      </c>
      <c r="H398" s="19">
        <v>12.4</v>
      </c>
      <c r="I398" s="19"/>
      <c r="J398" s="19" t="s">
        <v>140</v>
      </c>
      <c r="K398" s="19" t="b">
        <v>1</v>
      </c>
      <c r="L398" s="15">
        <v>2013</v>
      </c>
      <c r="M398" s="16">
        <v>95146</v>
      </c>
      <c r="N398" s="20">
        <v>41453</v>
      </c>
      <c r="O398" s="20">
        <v>41453</v>
      </c>
    </row>
    <row r="399" spans="1:15" ht="14.25">
      <c r="A399" s="17">
        <v>2013</v>
      </c>
      <c r="B399" s="18" t="s">
        <v>482</v>
      </c>
      <c r="C399" s="18" t="s">
        <v>483</v>
      </c>
      <c r="D399" s="19">
        <v>3021062</v>
      </c>
      <c r="E399" s="19">
        <v>2</v>
      </c>
      <c r="F399" s="19"/>
      <c r="G399" s="19">
        <v>880</v>
      </c>
      <c r="H399" s="19">
        <v>14.1</v>
      </c>
      <c r="I399" s="19"/>
      <c r="J399" s="19" t="s">
        <v>154</v>
      </c>
      <c r="K399" s="19" t="b">
        <v>1</v>
      </c>
      <c r="L399" s="15">
        <v>2016</v>
      </c>
      <c r="M399" s="16">
        <v>835135</v>
      </c>
      <c r="N399" s="20">
        <v>41453</v>
      </c>
      <c r="O399" s="20">
        <v>41453</v>
      </c>
    </row>
    <row r="400" spans="1:15" ht="14.25">
      <c r="A400" s="17">
        <v>2013</v>
      </c>
      <c r="B400" s="18" t="s">
        <v>482</v>
      </c>
      <c r="C400" s="18" t="s">
        <v>483</v>
      </c>
      <c r="D400" s="19">
        <v>3021062</v>
      </c>
      <c r="E400" s="19">
        <v>2</v>
      </c>
      <c r="F400" s="19"/>
      <c r="G400" s="19">
        <v>10</v>
      </c>
      <c r="H400" s="19">
        <v>1</v>
      </c>
      <c r="I400" s="19" t="s">
        <v>485</v>
      </c>
      <c r="J400" s="19" t="s">
        <v>26</v>
      </c>
      <c r="K400" s="19" t="b">
        <v>1</v>
      </c>
      <c r="L400" s="15">
        <v>2016</v>
      </c>
      <c r="M400" s="16">
        <v>20700000</v>
      </c>
      <c r="N400" s="20">
        <v>41453</v>
      </c>
      <c r="O400" s="20">
        <v>41453</v>
      </c>
    </row>
    <row r="401" spans="1:15" ht="14.25">
      <c r="A401" s="17">
        <v>2013</v>
      </c>
      <c r="B401" s="18" t="s">
        <v>482</v>
      </c>
      <c r="C401" s="18" t="s">
        <v>483</v>
      </c>
      <c r="D401" s="19">
        <v>3021062</v>
      </c>
      <c r="E401" s="19">
        <v>2</v>
      </c>
      <c r="F401" s="19"/>
      <c r="G401" s="19">
        <v>610</v>
      </c>
      <c r="H401" s="19" t="s">
        <v>117</v>
      </c>
      <c r="I401" s="19"/>
      <c r="J401" s="19" t="s">
        <v>118</v>
      </c>
      <c r="K401" s="19" t="b">
        <v>1</v>
      </c>
      <c r="L401" s="15">
        <v>2013</v>
      </c>
      <c r="M401" s="16">
        <v>274992</v>
      </c>
      <c r="N401" s="20">
        <v>41453</v>
      </c>
      <c r="O401" s="20">
        <v>41453</v>
      </c>
    </row>
    <row r="402" spans="1:15" ht="14.25">
      <c r="A402" s="17">
        <v>2013</v>
      </c>
      <c r="B402" s="18" t="s">
        <v>482</v>
      </c>
      <c r="C402" s="18" t="s">
        <v>483</v>
      </c>
      <c r="D402" s="19">
        <v>3021062</v>
      </c>
      <c r="E402" s="19">
        <v>2</v>
      </c>
      <c r="F402" s="19"/>
      <c r="G402" s="19">
        <v>190</v>
      </c>
      <c r="H402" s="19">
        <v>2.2</v>
      </c>
      <c r="I402" s="19"/>
      <c r="J402" s="19" t="s">
        <v>72</v>
      </c>
      <c r="K402" s="19" t="b">
        <v>0</v>
      </c>
      <c r="L402" s="15">
        <v>2024</v>
      </c>
      <c r="M402" s="16">
        <v>3119650</v>
      </c>
      <c r="N402" s="20">
        <v>41453</v>
      </c>
      <c r="O402" s="20">
        <v>41453</v>
      </c>
    </row>
    <row r="403" spans="1:15" ht="14.25">
      <c r="A403" s="17">
        <v>2013</v>
      </c>
      <c r="B403" s="18" t="s">
        <v>482</v>
      </c>
      <c r="C403" s="18" t="s">
        <v>483</v>
      </c>
      <c r="D403" s="19">
        <v>3021062</v>
      </c>
      <c r="E403" s="19">
        <v>2</v>
      </c>
      <c r="F403" s="19"/>
      <c r="G403" s="19">
        <v>300</v>
      </c>
      <c r="H403" s="19">
        <v>5</v>
      </c>
      <c r="I403" s="19" t="s">
        <v>496</v>
      </c>
      <c r="J403" s="19" t="s">
        <v>83</v>
      </c>
      <c r="K403" s="19" t="b">
        <v>0</v>
      </c>
      <c r="L403" s="15">
        <v>2015</v>
      </c>
      <c r="M403" s="16">
        <v>875135</v>
      </c>
      <c r="N403" s="20">
        <v>41453</v>
      </c>
      <c r="O403" s="20">
        <v>41453</v>
      </c>
    </row>
    <row r="404" spans="1:15" ht="14.25">
      <c r="A404" s="17">
        <v>2013</v>
      </c>
      <c r="B404" s="18" t="s">
        <v>482</v>
      </c>
      <c r="C404" s="18" t="s">
        <v>483</v>
      </c>
      <c r="D404" s="19">
        <v>3021062</v>
      </c>
      <c r="E404" s="19">
        <v>2</v>
      </c>
      <c r="F404" s="19"/>
      <c r="G404" s="19">
        <v>480</v>
      </c>
      <c r="H404" s="19">
        <v>9.4</v>
      </c>
      <c r="I404" s="19" t="s">
        <v>484</v>
      </c>
      <c r="J404" s="19" t="s">
        <v>100</v>
      </c>
      <c r="K404" s="19" t="b">
        <v>0</v>
      </c>
      <c r="L404" s="15">
        <v>2023</v>
      </c>
      <c r="M404" s="16">
        <v>0.0295</v>
      </c>
      <c r="N404" s="20">
        <v>41453</v>
      </c>
      <c r="O404" s="20">
        <v>41453</v>
      </c>
    </row>
    <row r="405" spans="1:15" ht="14.25">
      <c r="A405" s="17">
        <v>2013</v>
      </c>
      <c r="B405" s="18" t="s">
        <v>482</v>
      </c>
      <c r="C405" s="18" t="s">
        <v>483</v>
      </c>
      <c r="D405" s="19">
        <v>3021062</v>
      </c>
      <c r="E405" s="19">
        <v>2</v>
      </c>
      <c r="F405" s="19"/>
      <c r="G405" s="19">
        <v>530</v>
      </c>
      <c r="H405" s="19">
        <v>9.8</v>
      </c>
      <c r="I405" s="19" t="s">
        <v>494</v>
      </c>
      <c r="J405" s="19" t="s">
        <v>108</v>
      </c>
      <c r="K405" s="19" t="b">
        <v>0</v>
      </c>
      <c r="L405" s="15">
        <v>2019</v>
      </c>
      <c r="M405" s="16">
        <v>391</v>
      </c>
      <c r="N405" s="20">
        <v>41453</v>
      </c>
      <c r="O405" s="20">
        <v>41453</v>
      </c>
    </row>
    <row r="406" spans="1:15" ht="14.25">
      <c r="A406" s="17">
        <v>2013</v>
      </c>
      <c r="B406" s="18" t="s">
        <v>482</v>
      </c>
      <c r="C406" s="18" t="s">
        <v>483</v>
      </c>
      <c r="D406" s="19">
        <v>3021062</v>
      </c>
      <c r="E406" s="19">
        <v>2</v>
      </c>
      <c r="F406" s="19"/>
      <c r="G406" s="19">
        <v>50</v>
      </c>
      <c r="H406" s="19" t="s">
        <v>48</v>
      </c>
      <c r="I406" s="19"/>
      <c r="J406" s="19" t="s">
        <v>49</v>
      </c>
      <c r="K406" s="19" t="b">
        <v>1</v>
      </c>
      <c r="L406" s="15">
        <v>2013</v>
      </c>
      <c r="M406" s="16">
        <v>3784654</v>
      </c>
      <c r="N406" s="20">
        <v>41453</v>
      </c>
      <c r="O406" s="20">
        <v>41453</v>
      </c>
    </row>
    <row r="407" spans="1:15" ht="14.25">
      <c r="A407" s="17">
        <v>2013</v>
      </c>
      <c r="B407" s="18" t="s">
        <v>482</v>
      </c>
      <c r="C407" s="18" t="s">
        <v>483</v>
      </c>
      <c r="D407" s="19">
        <v>3021062</v>
      </c>
      <c r="E407" s="19">
        <v>2</v>
      </c>
      <c r="F407" s="19"/>
      <c r="G407" s="19">
        <v>420</v>
      </c>
      <c r="H407" s="19">
        <v>8.1</v>
      </c>
      <c r="I407" s="19" t="s">
        <v>487</v>
      </c>
      <c r="J407" s="19" t="s">
        <v>96</v>
      </c>
      <c r="K407" s="19" t="b">
        <v>0</v>
      </c>
      <c r="L407" s="15">
        <v>2019</v>
      </c>
      <c r="M407" s="16">
        <v>2253000</v>
      </c>
      <c r="N407" s="20">
        <v>41453</v>
      </c>
      <c r="O407" s="20">
        <v>41453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R98"/>
  <sheetViews>
    <sheetView zoomScalePageLayoutView="0" workbookViewId="0" topLeftCell="A1">
      <selection activeCell="R4" sqref="R4:R98"/>
    </sheetView>
  </sheetViews>
  <sheetFormatPr defaultColWidth="8.796875" defaultRowHeight="14.25"/>
  <cols>
    <col min="1" max="1" width="9" style="22" customWidth="1"/>
    <col min="2" max="2" width="12.5" style="22" customWidth="1"/>
    <col min="3" max="3" width="19.69921875" style="22" customWidth="1"/>
    <col min="4" max="6" width="9" style="22" customWidth="1"/>
    <col min="7" max="7" width="6.19921875" style="22" customWidth="1"/>
    <col min="8" max="8" width="6.8984375" style="22" customWidth="1"/>
    <col min="9" max="9" width="11.19921875" style="22" customWidth="1"/>
    <col min="10" max="10" width="13.5" style="22" bestFit="1" customWidth="1"/>
    <col min="11" max="12" width="9" style="22" customWidth="1"/>
    <col min="13" max="16" width="16.8984375" style="22" customWidth="1"/>
    <col min="17" max="16384" width="9" style="22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N1" s="21"/>
      <c r="O1" s="21"/>
      <c r="P1" s="21"/>
    </row>
    <row r="3" spans="1:18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211</v>
      </c>
      <c r="N3" s="5" t="s">
        <v>212</v>
      </c>
      <c r="O3" s="5" t="s">
        <v>214</v>
      </c>
      <c r="P3" s="5" t="s">
        <v>213</v>
      </c>
      <c r="Q3" s="5" t="s">
        <v>19</v>
      </c>
      <c r="R3" s="5" t="s">
        <v>20</v>
      </c>
    </row>
    <row r="4" spans="1:18" ht="14.25">
      <c r="A4" s="17">
        <v>2013</v>
      </c>
      <c r="B4" s="18" t="s">
        <v>482</v>
      </c>
      <c r="C4" s="18" t="s">
        <v>483</v>
      </c>
      <c r="D4" s="19">
        <v>3021062</v>
      </c>
      <c r="E4" s="19">
        <v>2</v>
      </c>
      <c r="F4" s="19"/>
      <c r="G4" s="19">
        <v>20</v>
      </c>
      <c r="H4" s="19">
        <v>1.1</v>
      </c>
      <c r="I4" s="19"/>
      <c r="J4" s="19" t="s">
        <v>43</v>
      </c>
      <c r="K4" s="19" t="b">
        <v>1</v>
      </c>
      <c r="L4" s="15">
        <v>2013</v>
      </c>
      <c r="M4" s="16">
        <v>15865836.94</v>
      </c>
      <c r="N4" s="16">
        <v>17910350.27</v>
      </c>
      <c r="O4" s="16">
        <v>17642438</v>
      </c>
      <c r="P4" s="16">
        <v>17734513.03</v>
      </c>
      <c r="Q4" s="20">
        <v>41453</v>
      </c>
      <c r="R4" s="20">
        <v>41453</v>
      </c>
    </row>
    <row r="5" spans="1:18" ht="14.25">
      <c r="A5" s="17">
        <v>2013</v>
      </c>
      <c r="B5" s="18" t="s">
        <v>482</v>
      </c>
      <c r="C5" s="18" t="s">
        <v>483</v>
      </c>
      <c r="D5" s="19">
        <v>3021062</v>
      </c>
      <c r="E5" s="19">
        <v>2</v>
      </c>
      <c r="F5" s="19"/>
      <c r="G5" s="19">
        <v>60</v>
      </c>
      <c r="H5" s="19" t="s">
        <v>50</v>
      </c>
      <c r="I5" s="19"/>
      <c r="J5" s="19" t="s">
        <v>51</v>
      </c>
      <c r="K5" s="19" t="b">
        <v>1</v>
      </c>
      <c r="L5" s="15">
        <v>2013</v>
      </c>
      <c r="M5" s="16">
        <v>0</v>
      </c>
      <c r="N5" s="16">
        <v>0</v>
      </c>
      <c r="O5" s="16">
        <v>0</v>
      </c>
      <c r="P5" s="16">
        <v>0</v>
      </c>
      <c r="Q5" s="20">
        <v>41453</v>
      </c>
      <c r="R5" s="20">
        <v>41453</v>
      </c>
    </row>
    <row r="6" spans="1:18" ht="14.25">
      <c r="A6" s="17">
        <v>2013</v>
      </c>
      <c r="B6" s="18" t="s">
        <v>482</v>
      </c>
      <c r="C6" s="18" t="s">
        <v>483</v>
      </c>
      <c r="D6" s="19">
        <v>3021062</v>
      </c>
      <c r="E6" s="19">
        <v>2</v>
      </c>
      <c r="F6" s="19"/>
      <c r="G6" s="19">
        <v>10</v>
      </c>
      <c r="H6" s="19">
        <v>1</v>
      </c>
      <c r="I6" s="19" t="s">
        <v>485</v>
      </c>
      <c r="J6" s="19" t="s">
        <v>26</v>
      </c>
      <c r="K6" s="19" t="b">
        <v>1</v>
      </c>
      <c r="L6" s="15">
        <v>2013</v>
      </c>
      <c r="M6" s="16">
        <v>17694090.44</v>
      </c>
      <c r="N6" s="16">
        <v>19338026.07</v>
      </c>
      <c r="O6" s="16">
        <v>25997535</v>
      </c>
      <c r="P6" s="16">
        <v>24644334.58</v>
      </c>
      <c r="Q6" s="20">
        <v>41453</v>
      </c>
      <c r="R6" s="20">
        <v>41453</v>
      </c>
    </row>
    <row r="7" spans="1:18" ht="14.25">
      <c r="A7" s="17">
        <v>2013</v>
      </c>
      <c r="B7" s="18" t="s">
        <v>482</v>
      </c>
      <c r="C7" s="18" t="s">
        <v>483</v>
      </c>
      <c r="D7" s="19">
        <v>3021062</v>
      </c>
      <c r="E7" s="19">
        <v>2</v>
      </c>
      <c r="F7" s="19"/>
      <c r="G7" s="19">
        <v>70</v>
      </c>
      <c r="H7" s="19" t="s">
        <v>52</v>
      </c>
      <c r="I7" s="19"/>
      <c r="J7" s="19" t="s">
        <v>53</v>
      </c>
      <c r="K7" s="19" t="b">
        <v>1</v>
      </c>
      <c r="L7" s="15">
        <v>2013</v>
      </c>
      <c r="M7" s="16">
        <v>0</v>
      </c>
      <c r="N7" s="16">
        <v>0</v>
      </c>
      <c r="O7" s="16">
        <v>0</v>
      </c>
      <c r="P7" s="16">
        <v>0</v>
      </c>
      <c r="Q7" s="20">
        <v>41453</v>
      </c>
      <c r="R7" s="20">
        <v>41453</v>
      </c>
    </row>
    <row r="8" spans="1:18" ht="14.25">
      <c r="A8" s="17">
        <v>2013</v>
      </c>
      <c r="B8" s="18" t="s">
        <v>482</v>
      </c>
      <c r="C8" s="18" t="s">
        <v>483</v>
      </c>
      <c r="D8" s="19">
        <v>3021062</v>
      </c>
      <c r="E8" s="19">
        <v>2</v>
      </c>
      <c r="F8" s="19"/>
      <c r="G8" s="19">
        <v>520</v>
      </c>
      <c r="H8" s="19" t="s">
        <v>106</v>
      </c>
      <c r="I8" s="19"/>
      <c r="J8" s="19" t="s">
        <v>493</v>
      </c>
      <c r="K8" s="19" t="b">
        <v>1</v>
      </c>
      <c r="L8" s="15">
        <v>2013</v>
      </c>
      <c r="M8" s="16">
        <v>0</v>
      </c>
      <c r="N8" s="16">
        <v>0</v>
      </c>
      <c r="O8" s="16">
        <v>0</v>
      </c>
      <c r="P8" s="16">
        <v>0</v>
      </c>
      <c r="Q8" s="20">
        <v>41453</v>
      </c>
      <c r="R8" s="20">
        <v>41453</v>
      </c>
    </row>
    <row r="9" spans="1:18" ht="14.25">
      <c r="A9" s="17">
        <v>2013</v>
      </c>
      <c r="B9" s="18" t="s">
        <v>482</v>
      </c>
      <c r="C9" s="18" t="s">
        <v>483</v>
      </c>
      <c r="D9" s="19">
        <v>3021062</v>
      </c>
      <c r="E9" s="19">
        <v>2</v>
      </c>
      <c r="F9" s="19"/>
      <c r="G9" s="19">
        <v>350</v>
      </c>
      <c r="H9" s="19">
        <v>6</v>
      </c>
      <c r="I9" s="19"/>
      <c r="J9" s="19" t="s">
        <v>27</v>
      </c>
      <c r="K9" s="19" t="b">
        <v>1</v>
      </c>
      <c r="L9" s="15">
        <v>2013</v>
      </c>
      <c r="M9" s="16">
        <v>9974629.2</v>
      </c>
      <c r="N9" s="16">
        <v>12551075.58</v>
      </c>
      <c r="O9" s="16">
        <v>8117585</v>
      </c>
      <c r="P9" s="16">
        <v>7854595.09</v>
      </c>
      <c r="Q9" s="20">
        <v>41453</v>
      </c>
      <c r="R9" s="20">
        <v>41453</v>
      </c>
    </row>
    <row r="10" spans="1:18" ht="14.25">
      <c r="A10" s="17">
        <v>2013</v>
      </c>
      <c r="B10" s="18" t="s">
        <v>482</v>
      </c>
      <c r="C10" s="18" t="s">
        <v>483</v>
      </c>
      <c r="D10" s="19">
        <v>3021062</v>
      </c>
      <c r="E10" s="19">
        <v>2</v>
      </c>
      <c r="F10" s="19"/>
      <c r="G10" s="19">
        <v>620</v>
      </c>
      <c r="H10" s="19" t="s">
        <v>119</v>
      </c>
      <c r="I10" s="19"/>
      <c r="J10" s="19" t="s">
        <v>120</v>
      </c>
      <c r="K10" s="19" t="b">
        <v>1</v>
      </c>
      <c r="L10" s="15">
        <v>2013</v>
      </c>
      <c r="M10" s="16">
        <v>2412650.19</v>
      </c>
      <c r="N10" s="16">
        <v>396093.62</v>
      </c>
      <c r="O10" s="16">
        <v>912000</v>
      </c>
      <c r="P10" s="16">
        <v>584688</v>
      </c>
      <c r="Q10" s="20">
        <v>41453</v>
      </c>
      <c r="R10" s="20">
        <v>41453</v>
      </c>
    </row>
    <row r="11" spans="1:18" ht="14.25">
      <c r="A11" s="17">
        <v>2013</v>
      </c>
      <c r="B11" s="18" t="s">
        <v>482</v>
      </c>
      <c r="C11" s="18" t="s">
        <v>483</v>
      </c>
      <c r="D11" s="19">
        <v>3021062</v>
      </c>
      <c r="E11" s="19">
        <v>2</v>
      </c>
      <c r="F11" s="19"/>
      <c r="G11" s="19">
        <v>860</v>
      </c>
      <c r="H11" s="19">
        <v>13.7</v>
      </c>
      <c r="I11" s="19"/>
      <c r="J11" s="19" t="s">
        <v>152</v>
      </c>
      <c r="K11" s="19" t="b">
        <v>1</v>
      </c>
      <c r="L11" s="15">
        <v>2013</v>
      </c>
      <c r="M11" s="16">
        <v>0</v>
      </c>
      <c r="N11" s="16">
        <v>0</v>
      </c>
      <c r="O11" s="16">
        <v>0</v>
      </c>
      <c r="P11" s="16">
        <v>0</v>
      </c>
      <c r="Q11" s="20">
        <v>41453</v>
      </c>
      <c r="R11" s="20">
        <v>41453</v>
      </c>
    </row>
    <row r="12" spans="1:18" ht="14.25">
      <c r="A12" s="17">
        <v>2013</v>
      </c>
      <c r="B12" s="18" t="s">
        <v>482</v>
      </c>
      <c r="C12" s="18" t="s">
        <v>483</v>
      </c>
      <c r="D12" s="19">
        <v>3021062</v>
      </c>
      <c r="E12" s="19">
        <v>2</v>
      </c>
      <c r="F12" s="19"/>
      <c r="G12" s="19">
        <v>770</v>
      </c>
      <c r="H12" s="19" t="s">
        <v>141</v>
      </c>
      <c r="I12" s="19"/>
      <c r="J12" s="19" t="s">
        <v>142</v>
      </c>
      <c r="K12" s="19" t="b">
        <v>1</v>
      </c>
      <c r="L12" s="15">
        <v>2013</v>
      </c>
      <c r="M12" s="16">
        <v>0</v>
      </c>
      <c r="N12" s="16">
        <v>0</v>
      </c>
      <c r="O12" s="16">
        <v>1958798</v>
      </c>
      <c r="P12" s="16">
        <v>1693495.61</v>
      </c>
      <c r="Q12" s="20">
        <v>41453</v>
      </c>
      <c r="R12" s="20">
        <v>41453</v>
      </c>
    </row>
    <row r="13" spans="1:18" ht="14.25">
      <c r="A13" s="17">
        <v>2013</v>
      </c>
      <c r="B13" s="18" t="s">
        <v>482</v>
      </c>
      <c r="C13" s="18" t="s">
        <v>483</v>
      </c>
      <c r="D13" s="19">
        <v>3021062</v>
      </c>
      <c r="E13" s="19">
        <v>2</v>
      </c>
      <c r="F13" s="19"/>
      <c r="G13" s="19">
        <v>550</v>
      </c>
      <c r="H13" s="19">
        <v>10</v>
      </c>
      <c r="I13" s="19"/>
      <c r="J13" s="19" t="s">
        <v>111</v>
      </c>
      <c r="K13" s="19" t="b">
        <v>0</v>
      </c>
      <c r="L13" s="15">
        <v>2013</v>
      </c>
      <c r="M13" s="16">
        <v>0</v>
      </c>
      <c r="N13" s="16">
        <v>0</v>
      </c>
      <c r="O13" s="16">
        <v>0</v>
      </c>
      <c r="P13" s="16">
        <v>0</v>
      </c>
      <c r="Q13" s="20">
        <v>41453</v>
      </c>
      <c r="R13" s="20">
        <v>41453</v>
      </c>
    </row>
    <row r="14" spans="1:18" ht="14.25">
      <c r="A14" s="17">
        <v>2013</v>
      </c>
      <c r="B14" s="18" t="s">
        <v>482</v>
      </c>
      <c r="C14" s="18" t="s">
        <v>483</v>
      </c>
      <c r="D14" s="19">
        <v>3021062</v>
      </c>
      <c r="E14" s="19">
        <v>2</v>
      </c>
      <c r="F14" s="19"/>
      <c r="G14" s="19">
        <v>180</v>
      </c>
      <c r="H14" s="19" t="s">
        <v>70</v>
      </c>
      <c r="I14" s="19"/>
      <c r="J14" s="19" t="s">
        <v>71</v>
      </c>
      <c r="K14" s="19" t="b">
        <v>0</v>
      </c>
      <c r="L14" s="15">
        <v>2013</v>
      </c>
      <c r="M14" s="16">
        <v>331174.84</v>
      </c>
      <c r="N14" s="16">
        <v>430465.97</v>
      </c>
      <c r="O14" s="16">
        <v>523000</v>
      </c>
      <c r="P14" s="16">
        <v>481394.65</v>
      </c>
      <c r="Q14" s="20">
        <v>41453</v>
      </c>
      <c r="R14" s="20">
        <v>41453</v>
      </c>
    </row>
    <row r="15" spans="1:18" ht="14.25">
      <c r="A15" s="17">
        <v>2013</v>
      </c>
      <c r="B15" s="18" t="s">
        <v>482</v>
      </c>
      <c r="C15" s="18" t="s">
        <v>483</v>
      </c>
      <c r="D15" s="19">
        <v>3021062</v>
      </c>
      <c r="E15" s="19">
        <v>2</v>
      </c>
      <c r="F15" s="19"/>
      <c r="G15" s="19">
        <v>730</v>
      </c>
      <c r="H15" s="19">
        <v>12.3</v>
      </c>
      <c r="I15" s="19"/>
      <c r="J15" s="19" t="s">
        <v>135</v>
      </c>
      <c r="K15" s="19" t="b">
        <v>0</v>
      </c>
      <c r="L15" s="15">
        <v>2013</v>
      </c>
      <c r="M15" s="16">
        <v>0</v>
      </c>
      <c r="N15" s="16">
        <v>0</v>
      </c>
      <c r="O15" s="16">
        <v>0</v>
      </c>
      <c r="P15" s="16">
        <v>0</v>
      </c>
      <c r="Q15" s="20">
        <v>41453</v>
      </c>
      <c r="R15" s="20">
        <v>41453</v>
      </c>
    </row>
    <row r="16" spans="1:18" ht="14.25">
      <c r="A16" s="17">
        <v>2013</v>
      </c>
      <c r="B16" s="18" t="s">
        <v>482</v>
      </c>
      <c r="C16" s="18" t="s">
        <v>483</v>
      </c>
      <c r="D16" s="19">
        <v>3021062</v>
      </c>
      <c r="E16" s="19">
        <v>2</v>
      </c>
      <c r="F16" s="19"/>
      <c r="G16" s="19">
        <v>260</v>
      </c>
      <c r="H16" s="19">
        <v>4.3</v>
      </c>
      <c r="I16" s="19"/>
      <c r="J16" s="19" t="s">
        <v>79</v>
      </c>
      <c r="K16" s="19" t="b">
        <v>1</v>
      </c>
      <c r="L16" s="15">
        <v>2013</v>
      </c>
      <c r="M16" s="16">
        <v>4079816.92</v>
      </c>
      <c r="N16" s="16">
        <v>3181535.26</v>
      </c>
      <c r="O16" s="16">
        <v>262990</v>
      </c>
      <c r="P16" s="16">
        <v>0</v>
      </c>
      <c r="Q16" s="20">
        <v>41453</v>
      </c>
      <c r="R16" s="20">
        <v>41453</v>
      </c>
    </row>
    <row r="17" spans="1:18" ht="14.25">
      <c r="A17" s="17">
        <v>2013</v>
      </c>
      <c r="B17" s="18" t="s">
        <v>482</v>
      </c>
      <c r="C17" s="18" t="s">
        <v>483</v>
      </c>
      <c r="D17" s="19">
        <v>3021062</v>
      </c>
      <c r="E17" s="19">
        <v>2</v>
      </c>
      <c r="F17" s="19"/>
      <c r="G17" s="19">
        <v>490</v>
      </c>
      <c r="H17" s="19">
        <v>9.5</v>
      </c>
      <c r="I17" s="19"/>
      <c r="J17" s="19" t="s">
        <v>101</v>
      </c>
      <c r="K17" s="19" t="b">
        <v>1</v>
      </c>
      <c r="L17" s="15">
        <v>2013</v>
      </c>
      <c r="M17" s="16">
        <v>0</v>
      </c>
      <c r="N17" s="16">
        <v>0</v>
      </c>
      <c r="O17" s="16">
        <v>0</v>
      </c>
      <c r="P17" s="16">
        <v>0</v>
      </c>
      <c r="Q17" s="20">
        <v>41453</v>
      </c>
      <c r="R17" s="20">
        <v>41453</v>
      </c>
    </row>
    <row r="18" spans="1:18" ht="14.25">
      <c r="A18" s="17">
        <v>2013</v>
      </c>
      <c r="B18" s="18" t="s">
        <v>482</v>
      </c>
      <c r="C18" s="18" t="s">
        <v>483</v>
      </c>
      <c r="D18" s="19">
        <v>3021062</v>
      </c>
      <c r="E18" s="19">
        <v>2</v>
      </c>
      <c r="F18" s="19"/>
      <c r="G18" s="19">
        <v>390</v>
      </c>
      <c r="H18" s="19">
        <v>6.3</v>
      </c>
      <c r="I18" s="19" t="s">
        <v>489</v>
      </c>
      <c r="J18" s="19" t="s">
        <v>94</v>
      </c>
      <c r="K18" s="19" t="b">
        <v>0</v>
      </c>
      <c r="L18" s="15">
        <v>2013</v>
      </c>
      <c r="M18" s="16">
        <v>0.5637</v>
      </c>
      <c r="N18" s="16">
        <v>0.649</v>
      </c>
      <c r="O18" s="16">
        <v>0.3122</v>
      </c>
      <c r="P18" s="16">
        <v>0.3187</v>
      </c>
      <c r="Q18" s="20">
        <v>41453</v>
      </c>
      <c r="R18" s="20">
        <v>41453</v>
      </c>
    </row>
    <row r="19" spans="1:18" ht="14.25">
      <c r="A19" s="17">
        <v>2013</v>
      </c>
      <c r="B19" s="18" t="s">
        <v>482</v>
      </c>
      <c r="C19" s="18" t="s">
        <v>483</v>
      </c>
      <c r="D19" s="19">
        <v>3021062</v>
      </c>
      <c r="E19" s="19">
        <v>2</v>
      </c>
      <c r="F19" s="19"/>
      <c r="G19" s="19">
        <v>460</v>
      </c>
      <c r="H19" s="19">
        <v>9.2</v>
      </c>
      <c r="I19" s="19" t="s">
        <v>484</v>
      </c>
      <c r="J19" s="19" t="s">
        <v>99</v>
      </c>
      <c r="K19" s="19" t="b">
        <v>0</v>
      </c>
      <c r="L19" s="15">
        <v>2013</v>
      </c>
      <c r="M19" s="16">
        <v>0.0407</v>
      </c>
      <c r="N19" s="16">
        <v>0.0536</v>
      </c>
      <c r="O19" s="16">
        <v>0.2008</v>
      </c>
      <c r="P19" s="16">
        <v>0.0541</v>
      </c>
      <c r="Q19" s="20">
        <v>41453</v>
      </c>
      <c r="R19" s="20">
        <v>41453</v>
      </c>
    </row>
    <row r="20" spans="1:18" ht="14.25">
      <c r="A20" s="17">
        <v>2013</v>
      </c>
      <c r="B20" s="18" t="s">
        <v>482</v>
      </c>
      <c r="C20" s="18" t="s">
        <v>483</v>
      </c>
      <c r="D20" s="19">
        <v>3021062</v>
      </c>
      <c r="E20" s="19">
        <v>2</v>
      </c>
      <c r="F20" s="19"/>
      <c r="G20" s="19">
        <v>630</v>
      </c>
      <c r="H20" s="19">
        <v>11.4</v>
      </c>
      <c r="I20" s="19"/>
      <c r="J20" s="19" t="s">
        <v>121</v>
      </c>
      <c r="K20" s="19" t="b">
        <v>1</v>
      </c>
      <c r="L20" s="15">
        <v>2013</v>
      </c>
      <c r="M20" s="16">
        <v>0</v>
      </c>
      <c r="N20" s="16">
        <v>0</v>
      </c>
      <c r="O20" s="16">
        <v>0</v>
      </c>
      <c r="P20" s="16">
        <v>0</v>
      </c>
      <c r="Q20" s="20">
        <v>41453</v>
      </c>
      <c r="R20" s="20">
        <v>41453</v>
      </c>
    </row>
    <row r="21" spans="1:18" ht="14.25">
      <c r="A21" s="17">
        <v>2013</v>
      </c>
      <c r="B21" s="18" t="s">
        <v>482</v>
      </c>
      <c r="C21" s="18" t="s">
        <v>483</v>
      </c>
      <c r="D21" s="19">
        <v>3021062</v>
      </c>
      <c r="E21" s="19">
        <v>2</v>
      </c>
      <c r="F21" s="19"/>
      <c r="G21" s="19">
        <v>890</v>
      </c>
      <c r="H21" s="19">
        <v>14.2</v>
      </c>
      <c r="I21" s="19"/>
      <c r="J21" s="19" t="s">
        <v>155</v>
      </c>
      <c r="K21" s="19" t="b">
        <v>1</v>
      </c>
      <c r="L21" s="15">
        <v>2013</v>
      </c>
      <c r="M21" s="16">
        <v>0</v>
      </c>
      <c r="N21" s="16">
        <v>0</v>
      </c>
      <c r="O21" s="16">
        <v>0</v>
      </c>
      <c r="P21" s="16">
        <v>0</v>
      </c>
      <c r="Q21" s="20">
        <v>41453</v>
      </c>
      <c r="R21" s="20">
        <v>41453</v>
      </c>
    </row>
    <row r="22" spans="1:18" ht="14.25">
      <c r="A22" s="17">
        <v>2013</v>
      </c>
      <c r="B22" s="18" t="s">
        <v>482</v>
      </c>
      <c r="C22" s="18" t="s">
        <v>483</v>
      </c>
      <c r="D22" s="19">
        <v>3021062</v>
      </c>
      <c r="E22" s="19">
        <v>2</v>
      </c>
      <c r="F22" s="19"/>
      <c r="G22" s="19">
        <v>230</v>
      </c>
      <c r="H22" s="19" t="s">
        <v>74</v>
      </c>
      <c r="I22" s="19"/>
      <c r="J22" s="19" t="s">
        <v>75</v>
      </c>
      <c r="K22" s="19" t="b">
        <v>0</v>
      </c>
      <c r="L22" s="15">
        <v>2013</v>
      </c>
      <c r="M22" s="16">
        <v>0</v>
      </c>
      <c r="N22" s="16">
        <v>0</v>
      </c>
      <c r="O22" s="16">
        <v>0</v>
      </c>
      <c r="P22" s="16">
        <v>0</v>
      </c>
      <c r="Q22" s="20">
        <v>41453</v>
      </c>
      <c r="R22" s="20">
        <v>41453</v>
      </c>
    </row>
    <row r="23" spans="1:18" ht="14.25">
      <c r="A23" s="17">
        <v>2013</v>
      </c>
      <c r="B23" s="18" t="s">
        <v>482</v>
      </c>
      <c r="C23" s="18" t="s">
        <v>483</v>
      </c>
      <c r="D23" s="19">
        <v>3021062</v>
      </c>
      <c r="E23" s="19">
        <v>2</v>
      </c>
      <c r="F23" s="19"/>
      <c r="G23" s="19">
        <v>690</v>
      </c>
      <c r="H23" s="19" t="s">
        <v>128</v>
      </c>
      <c r="I23" s="19"/>
      <c r="J23" s="19" t="s">
        <v>129</v>
      </c>
      <c r="K23" s="19" t="b">
        <v>1</v>
      </c>
      <c r="L23" s="15">
        <v>2013</v>
      </c>
      <c r="M23" s="16">
        <v>0</v>
      </c>
      <c r="N23" s="16">
        <v>0</v>
      </c>
      <c r="O23" s="16">
        <v>0</v>
      </c>
      <c r="P23" s="16">
        <v>0</v>
      </c>
      <c r="Q23" s="20">
        <v>41453</v>
      </c>
      <c r="R23" s="20">
        <v>41453</v>
      </c>
    </row>
    <row r="24" spans="1:18" ht="14.25">
      <c r="A24" s="17">
        <v>2013</v>
      </c>
      <c r="B24" s="18" t="s">
        <v>482</v>
      </c>
      <c r="C24" s="18" t="s">
        <v>483</v>
      </c>
      <c r="D24" s="19">
        <v>3021062</v>
      </c>
      <c r="E24" s="19">
        <v>2</v>
      </c>
      <c r="F24" s="19"/>
      <c r="G24" s="19">
        <v>830</v>
      </c>
      <c r="H24" s="19">
        <v>13.4</v>
      </c>
      <c r="I24" s="19"/>
      <c r="J24" s="19" t="s">
        <v>149</v>
      </c>
      <c r="K24" s="19" t="b">
        <v>1</v>
      </c>
      <c r="L24" s="15">
        <v>2013</v>
      </c>
      <c r="M24" s="16">
        <v>0</v>
      </c>
      <c r="N24" s="16">
        <v>0</v>
      </c>
      <c r="O24" s="16">
        <v>0</v>
      </c>
      <c r="P24" s="16">
        <v>0</v>
      </c>
      <c r="Q24" s="20">
        <v>41453</v>
      </c>
      <c r="R24" s="20">
        <v>41453</v>
      </c>
    </row>
    <row r="25" spans="1:18" ht="14.25">
      <c r="A25" s="17">
        <v>2013</v>
      </c>
      <c r="B25" s="18" t="s">
        <v>482</v>
      </c>
      <c r="C25" s="18" t="s">
        <v>483</v>
      </c>
      <c r="D25" s="19">
        <v>3021062</v>
      </c>
      <c r="E25" s="19">
        <v>2</v>
      </c>
      <c r="F25" s="19"/>
      <c r="G25" s="19">
        <v>30</v>
      </c>
      <c r="H25" s="19" t="s">
        <v>44</v>
      </c>
      <c r="I25" s="19"/>
      <c r="J25" s="19" t="s">
        <v>45</v>
      </c>
      <c r="K25" s="19" t="b">
        <v>1</v>
      </c>
      <c r="L25" s="15">
        <v>2013</v>
      </c>
      <c r="M25" s="16">
        <v>0</v>
      </c>
      <c r="N25" s="16">
        <v>0</v>
      </c>
      <c r="O25" s="16">
        <v>0</v>
      </c>
      <c r="P25" s="16">
        <v>0</v>
      </c>
      <c r="Q25" s="20">
        <v>41453</v>
      </c>
      <c r="R25" s="20">
        <v>41453</v>
      </c>
    </row>
    <row r="26" spans="1:18" ht="14.25">
      <c r="A26" s="17">
        <v>2013</v>
      </c>
      <c r="B26" s="18" t="s">
        <v>482</v>
      </c>
      <c r="C26" s="18" t="s">
        <v>483</v>
      </c>
      <c r="D26" s="19">
        <v>3021062</v>
      </c>
      <c r="E26" s="19">
        <v>2</v>
      </c>
      <c r="F26" s="19"/>
      <c r="G26" s="19">
        <v>310</v>
      </c>
      <c r="H26" s="19">
        <v>5.1</v>
      </c>
      <c r="I26" s="19"/>
      <c r="J26" s="19" t="s">
        <v>84</v>
      </c>
      <c r="K26" s="19" t="b">
        <v>1</v>
      </c>
      <c r="L26" s="15">
        <v>2013</v>
      </c>
      <c r="M26" s="16">
        <v>388987.72</v>
      </c>
      <c r="N26" s="16">
        <v>605088.88</v>
      </c>
      <c r="O26" s="16">
        <v>4696481</v>
      </c>
      <c r="P26" s="16">
        <v>4696480.49</v>
      </c>
      <c r="Q26" s="20">
        <v>41453</v>
      </c>
      <c r="R26" s="20">
        <v>41453</v>
      </c>
    </row>
    <row r="27" spans="1:18" ht="14.25">
      <c r="A27" s="17">
        <v>2013</v>
      </c>
      <c r="B27" s="18" t="s">
        <v>482</v>
      </c>
      <c r="C27" s="18" t="s">
        <v>483</v>
      </c>
      <c r="D27" s="19">
        <v>3021062</v>
      </c>
      <c r="E27" s="19">
        <v>2</v>
      </c>
      <c r="F27" s="19"/>
      <c r="G27" s="19">
        <v>240</v>
      </c>
      <c r="H27" s="19">
        <v>4.2</v>
      </c>
      <c r="I27" s="19"/>
      <c r="J27" s="19" t="s">
        <v>76</v>
      </c>
      <c r="K27" s="19" t="b">
        <v>0</v>
      </c>
      <c r="L27" s="15">
        <v>2013</v>
      </c>
      <c r="M27" s="16">
        <v>0</v>
      </c>
      <c r="N27" s="16">
        <v>0</v>
      </c>
      <c r="O27" s="16">
        <v>0</v>
      </c>
      <c r="P27" s="16">
        <v>0</v>
      </c>
      <c r="Q27" s="20">
        <v>41453</v>
      </c>
      <c r="R27" s="20">
        <v>41453</v>
      </c>
    </row>
    <row r="28" spans="1:18" ht="14.25">
      <c r="A28" s="17">
        <v>2013</v>
      </c>
      <c r="B28" s="18" t="s">
        <v>482</v>
      </c>
      <c r="C28" s="18" t="s">
        <v>483</v>
      </c>
      <c r="D28" s="19">
        <v>3021062</v>
      </c>
      <c r="E28" s="19">
        <v>2</v>
      </c>
      <c r="F28" s="19"/>
      <c r="G28" s="19">
        <v>280</v>
      </c>
      <c r="H28" s="19">
        <v>4.4</v>
      </c>
      <c r="I28" s="19"/>
      <c r="J28" s="19" t="s">
        <v>81</v>
      </c>
      <c r="K28" s="19" t="b">
        <v>0</v>
      </c>
      <c r="L28" s="15">
        <v>2013</v>
      </c>
      <c r="M28" s="16">
        <v>0</v>
      </c>
      <c r="N28" s="16">
        <v>0</v>
      </c>
      <c r="O28" s="16">
        <v>0</v>
      </c>
      <c r="P28" s="16">
        <v>0</v>
      </c>
      <c r="Q28" s="20">
        <v>41453</v>
      </c>
      <c r="R28" s="20">
        <v>41453</v>
      </c>
    </row>
    <row r="29" spans="1:18" ht="14.25">
      <c r="A29" s="17">
        <v>2013</v>
      </c>
      <c r="B29" s="18" t="s">
        <v>482</v>
      </c>
      <c r="C29" s="18" t="s">
        <v>483</v>
      </c>
      <c r="D29" s="19">
        <v>3021062</v>
      </c>
      <c r="E29" s="19">
        <v>2</v>
      </c>
      <c r="F29" s="19"/>
      <c r="G29" s="19">
        <v>790</v>
      </c>
      <c r="H29" s="19">
        <v>13</v>
      </c>
      <c r="I29" s="19"/>
      <c r="J29" s="19" t="s">
        <v>145</v>
      </c>
      <c r="K29" s="19" t="b">
        <v>1</v>
      </c>
      <c r="L29" s="15">
        <v>2013</v>
      </c>
      <c r="M29" s="16">
        <v>0</v>
      </c>
      <c r="N29" s="16">
        <v>0</v>
      </c>
      <c r="O29" s="16">
        <v>0</v>
      </c>
      <c r="P29" s="16">
        <v>0</v>
      </c>
      <c r="Q29" s="20">
        <v>41453</v>
      </c>
      <c r="R29" s="20">
        <v>41453</v>
      </c>
    </row>
    <row r="30" spans="1:18" ht="14.25">
      <c r="A30" s="17">
        <v>2013</v>
      </c>
      <c r="B30" s="18" t="s">
        <v>482</v>
      </c>
      <c r="C30" s="18" t="s">
        <v>483</v>
      </c>
      <c r="D30" s="19">
        <v>3021062</v>
      </c>
      <c r="E30" s="19">
        <v>2</v>
      </c>
      <c r="F30" s="19"/>
      <c r="G30" s="19">
        <v>700</v>
      </c>
      <c r="H30" s="19">
        <v>12.2</v>
      </c>
      <c r="I30" s="19"/>
      <c r="J30" s="19" t="s">
        <v>130</v>
      </c>
      <c r="K30" s="19" t="b">
        <v>0</v>
      </c>
      <c r="L30" s="15">
        <v>2013</v>
      </c>
      <c r="M30" s="16">
        <v>0</v>
      </c>
      <c r="N30" s="16">
        <v>0</v>
      </c>
      <c r="O30" s="16">
        <v>0</v>
      </c>
      <c r="P30" s="16">
        <v>0</v>
      </c>
      <c r="Q30" s="20">
        <v>41453</v>
      </c>
      <c r="R30" s="20">
        <v>41453</v>
      </c>
    </row>
    <row r="31" spans="1:18" ht="14.25">
      <c r="A31" s="17">
        <v>2013</v>
      </c>
      <c r="B31" s="18" t="s">
        <v>482</v>
      </c>
      <c r="C31" s="18" t="s">
        <v>483</v>
      </c>
      <c r="D31" s="19">
        <v>3021062</v>
      </c>
      <c r="E31" s="19">
        <v>2</v>
      </c>
      <c r="F31" s="19"/>
      <c r="G31" s="19">
        <v>270</v>
      </c>
      <c r="H31" s="19" t="s">
        <v>80</v>
      </c>
      <c r="I31" s="19"/>
      <c r="J31" s="19" t="s">
        <v>78</v>
      </c>
      <c r="K31" s="19" t="b">
        <v>1</v>
      </c>
      <c r="L31" s="15">
        <v>2013</v>
      </c>
      <c r="M31" s="16">
        <v>0</v>
      </c>
      <c r="N31" s="16">
        <v>0</v>
      </c>
      <c r="O31" s="16">
        <v>0</v>
      </c>
      <c r="P31" s="16">
        <v>0</v>
      </c>
      <c r="Q31" s="20">
        <v>41453</v>
      </c>
      <c r="R31" s="20">
        <v>41453</v>
      </c>
    </row>
    <row r="32" spans="1:18" ht="14.25">
      <c r="A32" s="17">
        <v>2013</v>
      </c>
      <c r="B32" s="18" t="s">
        <v>482</v>
      </c>
      <c r="C32" s="18" t="s">
        <v>483</v>
      </c>
      <c r="D32" s="19">
        <v>3021062</v>
      </c>
      <c r="E32" s="19">
        <v>2</v>
      </c>
      <c r="F32" s="19"/>
      <c r="G32" s="19">
        <v>810</v>
      </c>
      <c r="H32" s="19">
        <v>13.2</v>
      </c>
      <c r="I32" s="19"/>
      <c r="J32" s="19" t="s">
        <v>147</v>
      </c>
      <c r="K32" s="19" t="b">
        <v>1</v>
      </c>
      <c r="L32" s="15">
        <v>2013</v>
      </c>
      <c r="M32" s="16">
        <v>0</v>
      </c>
      <c r="N32" s="16">
        <v>0</v>
      </c>
      <c r="O32" s="16">
        <v>0</v>
      </c>
      <c r="P32" s="16">
        <v>0</v>
      </c>
      <c r="Q32" s="20">
        <v>41453</v>
      </c>
      <c r="R32" s="20">
        <v>41453</v>
      </c>
    </row>
    <row r="33" spans="1:18" ht="14.25">
      <c r="A33" s="17">
        <v>2013</v>
      </c>
      <c r="B33" s="18" t="s">
        <v>482</v>
      </c>
      <c r="C33" s="18" t="s">
        <v>483</v>
      </c>
      <c r="D33" s="19">
        <v>3021062</v>
      </c>
      <c r="E33" s="19">
        <v>2</v>
      </c>
      <c r="F33" s="19"/>
      <c r="G33" s="19">
        <v>330</v>
      </c>
      <c r="H33" s="19" t="s">
        <v>87</v>
      </c>
      <c r="I33" s="19"/>
      <c r="J33" s="19" t="s">
        <v>88</v>
      </c>
      <c r="K33" s="19" t="b">
        <v>1</v>
      </c>
      <c r="L33" s="15">
        <v>2013</v>
      </c>
      <c r="M33" s="16">
        <v>0</v>
      </c>
      <c r="N33" s="16">
        <v>0</v>
      </c>
      <c r="O33" s="16">
        <v>3843710</v>
      </c>
      <c r="P33" s="16">
        <v>0</v>
      </c>
      <c r="Q33" s="20">
        <v>41453</v>
      </c>
      <c r="R33" s="20">
        <v>41453</v>
      </c>
    </row>
    <row r="34" spans="1:18" ht="14.25">
      <c r="A34" s="17">
        <v>2013</v>
      </c>
      <c r="B34" s="18" t="s">
        <v>482</v>
      </c>
      <c r="C34" s="18" t="s">
        <v>483</v>
      </c>
      <c r="D34" s="19">
        <v>3021062</v>
      </c>
      <c r="E34" s="19">
        <v>2</v>
      </c>
      <c r="F34" s="19"/>
      <c r="G34" s="19">
        <v>640</v>
      </c>
      <c r="H34" s="19">
        <v>11.5</v>
      </c>
      <c r="I34" s="19"/>
      <c r="J34" s="19" t="s">
        <v>122</v>
      </c>
      <c r="K34" s="19" t="b">
        <v>1</v>
      </c>
      <c r="L34" s="15">
        <v>2013</v>
      </c>
      <c r="M34" s="16">
        <v>0</v>
      </c>
      <c r="N34" s="16">
        <v>0</v>
      </c>
      <c r="O34" s="16">
        <v>0</v>
      </c>
      <c r="P34" s="16">
        <v>21000</v>
      </c>
      <c r="Q34" s="20">
        <v>41453</v>
      </c>
      <c r="R34" s="20">
        <v>41453</v>
      </c>
    </row>
    <row r="35" spans="1:18" ht="14.25">
      <c r="A35" s="17">
        <v>2013</v>
      </c>
      <c r="B35" s="18" t="s">
        <v>482</v>
      </c>
      <c r="C35" s="18" t="s">
        <v>483</v>
      </c>
      <c r="D35" s="19">
        <v>3021062</v>
      </c>
      <c r="E35" s="19">
        <v>2</v>
      </c>
      <c r="F35" s="19"/>
      <c r="G35" s="19">
        <v>210</v>
      </c>
      <c r="H35" s="19">
        <v>4</v>
      </c>
      <c r="I35" s="19" t="s">
        <v>501</v>
      </c>
      <c r="J35" s="19" t="s">
        <v>24</v>
      </c>
      <c r="K35" s="19" t="b">
        <v>0</v>
      </c>
      <c r="L35" s="15">
        <v>2013</v>
      </c>
      <c r="M35" s="16">
        <v>4079816.92</v>
      </c>
      <c r="N35" s="16">
        <v>3181535.26</v>
      </c>
      <c r="O35" s="16">
        <v>1351976</v>
      </c>
      <c r="P35" s="16">
        <v>1088986.44</v>
      </c>
      <c r="Q35" s="20">
        <v>41453</v>
      </c>
      <c r="R35" s="20">
        <v>41453</v>
      </c>
    </row>
    <row r="36" spans="1:18" ht="14.25">
      <c r="A36" s="17">
        <v>2013</v>
      </c>
      <c r="B36" s="18" t="s">
        <v>482</v>
      </c>
      <c r="C36" s="18" t="s">
        <v>483</v>
      </c>
      <c r="D36" s="19">
        <v>3021062</v>
      </c>
      <c r="E36" s="19">
        <v>2</v>
      </c>
      <c r="F36" s="19"/>
      <c r="G36" s="19">
        <v>200</v>
      </c>
      <c r="H36" s="19">
        <v>3</v>
      </c>
      <c r="I36" s="19" t="s">
        <v>488</v>
      </c>
      <c r="J36" s="19" t="s">
        <v>23</v>
      </c>
      <c r="K36" s="19" t="b">
        <v>0</v>
      </c>
      <c r="L36" s="15">
        <v>2013</v>
      </c>
      <c r="M36" s="16">
        <v>-4395659.15</v>
      </c>
      <c r="N36" s="16">
        <v>-2429742.62</v>
      </c>
      <c r="O36" s="16">
        <v>3607495</v>
      </c>
      <c r="P36" s="16">
        <v>4104371.1</v>
      </c>
      <c r="Q36" s="20">
        <v>41453</v>
      </c>
      <c r="R36" s="20">
        <v>41453</v>
      </c>
    </row>
    <row r="37" spans="1:18" ht="14.25">
      <c r="A37" s="17">
        <v>2013</v>
      </c>
      <c r="B37" s="18" t="s">
        <v>482</v>
      </c>
      <c r="C37" s="18" t="s">
        <v>483</v>
      </c>
      <c r="D37" s="19">
        <v>3021062</v>
      </c>
      <c r="E37" s="19">
        <v>2</v>
      </c>
      <c r="F37" s="19"/>
      <c r="G37" s="19">
        <v>500</v>
      </c>
      <c r="H37" s="19">
        <v>9.6</v>
      </c>
      <c r="I37" s="19" t="s">
        <v>498</v>
      </c>
      <c r="J37" s="19" t="s">
        <v>102</v>
      </c>
      <c r="K37" s="19" t="b">
        <v>0</v>
      </c>
      <c r="L37" s="15">
        <v>2013</v>
      </c>
      <c r="M37" s="16">
        <v>0.0407</v>
      </c>
      <c r="N37" s="16">
        <v>0.0536</v>
      </c>
      <c r="O37" s="16">
        <v>0.2008</v>
      </c>
      <c r="P37" s="16">
        <v>0.0541</v>
      </c>
      <c r="Q37" s="20">
        <v>41453</v>
      </c>
      <c r="R37" s="20">
        <v>41453</v>
      </c>
    </row>
    <row r="38" spans="1:18" ht="14.25">
      <c r="A38" s="17">
        <v>2013</v>
      </c>
      <c r="B38" s="18" t="s">
        <v>482</v>
      </c>
      <c r="C38" s="18" t="s">
        <v>483</v>
      </c>
      <c r="D38" s="19">
        <v>3021062</v>
      </c>
      <c r="E38" s="19">
        <v>2</v>
      </c>
      <c r="F38" s="19"/>
      <c r="G38" s="19">
        <v>300</v>
      </c>
      <c r="H38" s="19">
        <v>5</v>
      </c>
      <c r="I38" s="19" t="s">
        <v>496</v>
      </c>
      <c r="J38" s="19" t="s">
        <v>83</v>
      </c>
      <c r="K38" s="19" t="b">
        <v>0</v>
      </c>
      <c r="L38" s="15">
        <v>2013</v>
      </c>
      <c r="M38" s="16">
        <v>388987.72</v>
      </c>
      <c r="N38" s="16">
        <v>605088.88</v>
      </c>
      <c r="O38" s="16">
        <v>4959471</v>
      </c>
      <c r="P38" s="16">
        <v>4877476.49</v>
      </c>
      <c r="Q38" s="20">
        <v>41453</v>
      </c>
      <c r="R38" s="20">
        <v>41453</v>
      </c>
    </row>
    <row r="39" spans="1:18" ht="14.25">
      <c r="A39" s="17">
        <v>2013</v>
      </c>
      <c r="B39" s="18" t="s">
        <v>482</v>
      </c>
      <c r="C39" s="18" t="s">
        <v>483</v>
      </c>
      <c r="D39" s="19">
        <v>3021062</v>
      </c>
      <c r="E39" s="19">
        <v>2</v>
      </c>
      <c r="F39" s="19"/>
      <c r="G39" s="19">
        <v>920</v>
      </c>
      <c r="H39" s="19" t="s">
        <v>159</v>
      </c>
      <c r="I39" s="19"/>
      <c r="J39" s="19" t="s">
        <v>160</v>
      </c>
      <c r="K39" s="19" t="b">
        <v>1</v>
      </c>
      <c r="L39" s="15">
        <v>2013</v>
      </c>
      <c r="M39" s="16">
        <v>0</v>
      </c>
      <c r="N39" s="16">
        <v>0</v>
      </c>
      <c r="O39" s="16">
        <v>0</v>
      </c>
      <c r="P39" s="16">
        <v>0</v>
      </c>
      <c r="Q39" s="20">
        <v>41453</v>
      </c>
      <c r="R39" s="20">
        <v>41453</v>
      </c>
    </row>
    <row r="40" spans="1:18" ht="14.25">
      <c r="A40" s="17">
        <v>2013</v>
      </c>
      <c r="B40" s="18" t="s">
        <v>482</v>
      </c>
      <c r="C40" s="18" t="s">
        <v>483</v>
      </c>
      <c r="D40" s="19">
        <v>3021062</v>
      </c>
      <c r="E40" s="19">
        <v>2</v>
      </c>
      <c r="F40" s="19"/>
      <c r="G40" s="19">
        <v>320</v>
      </c>
      <c r="H40" s="19" t="s">
        <v>85</v>
      </c>
      <c r="I40" s="19"/>
      <c r="J40" s="19" t="s">
        <v>503</v>
      </c>
      <c r="K40" s="19" t="b">
        <v>1</v>
      </c>
      <c r="L40" s="15">
        <v>2013</v>
      </c>
      <c r="M40" s="16">
        <v>0</v>
      </c>
      <c r="N40" s="16">
        <v>0</v>
      </c>
      <c r="O40" s="16">
        <v>0</v>
      </c>
      <c r="P40" s="16">
        <v>3843709.41</v>
      </c>
      <c r="Q40" s="20">
        <v>41453</v>
      </c>
      <c r="R40" s="20">
        <v>41453</v>
      </c>
    </row>
    <row r="41" spans="1:18" ht="14.25">
      <c r="A41" s="17">
        <v>2013</v>
      </c>
      <c r="B41" s="18" t="s">
        <v>482</v>
      </c>
      <c r="C41" s="18" t="s">
        <v>483</v>
      </c>
      <c r="D41" s="19">
        <v>3021062</v>
      </c>
      <c r="E41" s="19">
        <v>2</v>
      </c>
      <c r="F41" s="19"/>
      <c r="G41" s="19">
        <v>710</v>
      </c>
      <c r="H41" s="19" t="s">
        <v>131</v>
      </c>
      <c r="I41" s="19"/>
      <c r="J41" s="19" t="s">
        <v>132</v>
      </c>
      <c r="K41" s="19" t="b">
        <v>0</v>
      </c>
      <c r="L41" s="15">
        <v>2013</v>
      </c>
      <c r="M41" s="16">
        <v>0</v>
      </c>
      <c r="N41" s="16">
        <v>355439.59</v>
      </c>
      <c r="O41" s="16">
        <v>0</v>
      </c>
      <c r="P41" s="16">
        <v>0</v>
      </c>
      <c r="Q41" s="20">
        <v>41453</v>
      </c>
      <c r="R41" s="20">
        <v>41453</v>
      </c>
    </row>
    <row r="42" spans="1:18" ht="14.25">
      <c r="A42" s="17">
        <v>2013</v>
      </c>
      <c r="B42" s="18" t="s">
        <v>482</v>
      </c>
      <c r="C42" s="18" t="s">
        <v>483</v>
      </c>
      <c r="D42" s="19">
        <v>3021062</v>
      </c>
      <c r="E42" s="19">
        <v>2</v>
      </c>
      <c r="F42" s="19"/>
      <c r="G42" s="19">
        <v>900</v>
      </c>
      <c r="H42" s="19">
        <v>14.3</v>
      </c>
      <c r="I42" s="19"/>
      <c r="J42" s="19" t="s">
        <v>156</v>
      </c>
      <c r="K42" s="19" t="b">
        <v>1</v>
      </c>
      <c r="L42" s="15">
        <v>2013</v>
      </c>
      <c r="M42" s="16">
        <v>0</v>
      </c>
      <c r="N42" s="16">
        <v>0</v>
      </c>
      <c r="O42" s="16">
        <v>0</v>
      </c>
      <c r="P42" s="16">
        <v>0</v>
      </c>
      <c r="Q42" s="20">
        <v>41453</v>
      </c>
      <c r="R42" s="20">
        <v>41453</v>
      </c>
    </row>
    <row r="43" spans="1:18" ht="14.25">
      <c r="A43" s="17">
        <v>2013</v>
      </c>
      <c r="B43" s="18" t="s">
        <v>482</v>
      </c>
      <c r="C43" s="18" t="s">
        <v>483</v>
      </c>
      <c r="D43" s="19">
        <v>3021062</v>
      </c>
      <c r="E43" s="19">
        <v>2</v>
      </c>
      <c r="F43" s="19"/>
      <c r="G43" s="19">
        <v>680</v>
      </c>
      <c r="H43" s="19" t="s">
        <v>126</v>
      </c>
      <c r="I43" s="19"/>
      <c r="J43" s="19" t="s">
        <v>127</v>
      </c>
      <c r="K43" s="19" t="b">
        <v>1</v>
      </c>
      <c r="L43" s="15">
        <v>2013</v>
      </c>
      <c r="M43" s="16">
        <v>0</v>
      </c>
      <c r="N43" s="16">
        <v>60057.29</v>
      </c>
      <c r="O43" s="16">
        <v>201256</v>
      </c>
      <c r="P43" s="16">
        <v>0</v>
      </c>
      <c r="Q43" s="20">
        <v>41453</v>
      </c>
      <c r="R43" s="20">
        <v>41453</v>
      </c>
    </row>
    <row r="44" spans="1:18" ht="14.25">
      <c r="A44" s="17">
        <v>2013</v>
      </c>
      <c r="B44" s="18" t="s">
        <v>482</v>
      </c>
      <c r="C44" s="18" t="s">
        <v>483</v>
      </c>
      <c r="D44" s="19">
        <v>3021062</v>
      </c>
      <c r="E44" s="19">
        <v>2</v>
      </c>
      <c r="F44" s="19"/>
      <c r="G44" s="19">
        <v>940</v>
      </c>
      <c r="H44" s="19">
        <v>14.4</v>
      </c>
      <c r="I44" s="19"/>
      <c r="J44" s="19" t="s">
        <v>163</v>
      </c>
      <c r="K44" s="19" t="b">
        <v>1</v>
      </c>
      <c r="L44" s="15">
        <v>2013</v>
      </c>
      <c r="M44" s="16">
        <v>0</v>
      </c>
      <c r="N44" s="16">
        <v>0</v>
      </c>
      <c r="O44" s="16">
        <v>0</v>
      </c>
      <c r="P44" s="16">
        <v>0</v>
      </c>
      <c r="Q44" s="20">
        <v>41453</v>
      </c>
      <c r="R44" s="20">
        <v>41453</v>
      </c>
    </row>
    <row r="45" spans="1:18" ht="14.25">
      <c r="A45" s="17">
        <v>2013</v>
      </c>
      <c r="B45" s="18" t="s">
        <v>482</v>
      </c>
      <c r="C45" s="18" t="s">
        <v>483</v>
      </c>
      <c r="D45" s="19">
        <v>3021062</v>
      </c>
      <c r="E45" s="19">
        <v>2</v>
      </c>
      <c r="F45" s="19"/>
      <c r="G45" s="19">
        <v>720</v>
      </c>
      <c r="H45" s="19" t="s">
        <v>133</v>
      </c>
      <c r="I45" s="19"/>
      <c r="J45" s="19" t="s">
        <v>134</v>
      </c>
      <c r="K45" s="19" t="b">
        <v>0</v>
      </c>
      <c r="L45" s="15">
        <v>2013</v>
      </c>
      <c r="M45" s="16">
        <v>0</v>
      </c>
      <c r="N45" s="16">
        <v>0</v>
      </c>
      <c r="O45" s="16">
        <v>0</v>
      </c>
      <c r="P45" s="16">
        <v>0</v>
      </c>
      <c r="Q45" s="20">
        <v>41453</v>
      </c>
      <c r="R45" s="20">
        <v>41453</v>
      </c>
    </row>
    <row r="46" spans="1:18" ht="14.25">
      <c r="A46" s="17">
        <v>2013</v>
      </c>
      <c r="B46" s="18" t="s">
        <v>482</v>
      </c>
      <c r="C46" s="18" t="s">
        <v>483</v>
      </c>
      <c r="D46" s="19">
        <v>3021062</v>
      </c>
      <c r="E46" s="19">
        <v>2</v>
      </c>
      <c r="F46" s="19"/>
      <c r="G46" s="19">
        <v>780</v>
      </c>
      <c r="H46" s="19" t="s">
        <v>143</v>
      </c>
      <c r="I46" s="19"/>
      <c r="J46" s="19" t="s">
        <v>144</v>
      </c>
      <c r="K46" s="19" t="b">
        <v>1</v>
      </c>
      <c r="L46" s="15">
        <v>2013</v>
      </c>
      <c r="M46" s="16">
        <v>0</v>
      </c>
      <c r="N46" s="16">
        <v>0</v>
      </c>
      <c r="O46" s="16">
        <v>0</v>
      </c>
      <c r="P46" s="16">
        <v>0</v>
      </c>
      <c r="Q46" s="20">
        <v>41453</v>
      </c>
      <c r="R46" s="20">
        <v>41453</v>
      </c>
    </row>
    <row r="47" spans="1:18" ht="14.25">
      <c r="A47" s="17">
        <v>2013</v>
      </c>
      <c r="B47" s="18" t="s">
        <v>482</v>
      </c>
      <c r="C47" s="18" t="s">
        <v>483</v>
      </c>
      <c r="D47" s="19">
        <v>3021062</v>
      </c>
      <c r="E47" s="19">
        <v>2</v>
      </c>
      <c r="F47" s="19"/>
      <c r="G47" s="19">
        <v>800</v>
      </c>
      <c r="H47" s="19">
        <v>13.1</v>
      </c>
      <c r="I47" s="19"/>
      <c r="J47" s="19" t="s">
        <v>146</v>
      </c>
      <c r="K47" s="19" t="b">
        <v>1</v>
      </c>
      <c r="L47" s="15">
        <v>2013</v>
      </c>
      <c r="M47" s="16">
        <v>0</v>
      </c>
      <c r="N47" s="16">
        <v>0</v>
      </c>
      <c r="O47" s="16">
        <v>0</v>
      </c>
      <c r="P47" s="16">
        <v>0</v>
      </c>
      <c r="Q47" s="20">
        <v>41453</v>
      </c>
      <c r="R47" s="20">
        <v>41453</v>
      </c>
    </row>
    <row r="48" spans="1:18" ht="14.25">
      <c r="A48" s="17">
        <v>2013</v>
      </c>
      <c r="B48" s="18" t="s">
        <v>482</v>
      </c>
      <c r="C48" s="18" t="s">
        <v>483</v>
      </c>
      <c r="D48" s="19">
        <v>3021062</v>
      </c>
      <c r="E48" s="19">
        <v>2</v>
      </c>
      <c r="F48" s="19"/>
      <c r="G48" s="19">
        <v>580</v>
      </c>
      <c r="H48" s="19">
        <v>11.1</v>
      </c>
      <c r="I48" s="19"/>
      <c r="J48" s="19" t="s">
        <v>114</v>
      </c>
      <c r="K48" s="19" t="b">
        <v>0</v>
      </c>
      <c r="L48" s="15">
        <v>2013</v>
      </c>
      <c r="M48" s="16">
        <v>5900000</v>
      </c>
      <c r="N48" s="16">
        <v>6400000</v>
      </c>
      <c r="O48" s="16">
        <v>6922323.12</v>
      </c>
      <c r="P48" s="16">
        <v>0</v>
      </c>
      <c r="Q48" s="20">
        <v>41453</v>
      </c>
      <c r="R48" s="20">
        <v>41453</v>
      </c>
    </row>
    <row r="49" spans="1:18" ht="14.25">
      <c r="A49" s="17">
        <v>2013</v>
      </c>
      <c r="B49" s="18" t="s">
        <v>482</v>
      </c>
      <c r="C49" s="18" t="s">
        <v>483</v>
      </c>
      <c r="D49" s="19">
        <v>3021062</v>
      </c>
      <c r="E49" s="19">
        <v>2</v>
      </c>
      <c r="F49" s="19"/>
      <c r="G49" s="19">
        <v>570</v>
      </c>
      <c r="H49" s="19">
        <v>11</v>
      </c>
      <c r="I49" s="19"/>
      <c r="J49" s="19" t="s">
        <v>113</v>
      </c>
      <c r="K49" s="19" t="b">
        <v>0</v>
      </c>
      <c r="L49" s="15">
        <v>2013</v>
      </c>
      <c r="M49" s="16">
        <v>0</v>
      </c>
      <c r="N49" s="16">
        <v>0</v>
      </c>
      <c r="O49" s="16">
        <v>0</v>
      </c>
      <c r="P49" s="16">
        <v>0</v>
      </c>
      <c r="Q49" s="20">
        <v>41453</v>
      </c>
      <c r="R49" s="20">
        <v>41453</v>
      </c>
    </row>
    <row r="50" spans="1:18" ht="14.25">
      <c r="A50" s="17">
        <v>2013</v>
      </c>
      <c r="B50" s="18" t="s">
        <v>482</v>
      </c>
      <c r="C50" s="18" t="s">
        <v>483</v>
      </c>
      <c r="D50" s="19">
        <v>3021062</v>
      </c>
      <c r="E50" s="19">
        <v>2</v>
      </c>
      <c r="F50" s="19"/>
      <c r="G50" s="19">
        <v>160</v>
      </c>
      <c r="H50" s="19" t="s">
        <v>66</v>
      </c>
      <c r="I50" s="19"/>
      <c r="J50" s="19" t="s">
        <v>67</v>
      </c>
      <c r="K50" s="19" t="b">
        <v>1</v>
      </c>
      <c r="L50" s="15">
        <v>2013</v>
      </c>
      <c r="M50" s="16">
        <v>0</v>
      </c>
      <c r="N50" s="16">
        <v>0</v>
      </c>
      <c r="O50" s="16">
        <v>0</v>
      </c>
      <c r="P50" s="16">
        <v>0</v>
      </c>
      <c r="Q50" s="20">
        <v>41453</v>
      </c>
      <c r="R50" s="20">
        <v>41453</v>
      </c>
    </row>
    <row r="51" spans="1:18" ht="14.25">
      <c r="A51" s="17">
        <v>2013</v>
      </c>
      <c r="B51" s="18" t="s">
        <v>482</v>
      </c>
      <c r="C51" s="18" t="s">
        <v>483</v>
      </c>
      <c r="D51" s="19">
        <v>3021062</v>
      </c>
      <c r="E51" s="19">
        <v>2</v>
      </c>
      <c r="F51" s="19"/>
      <c r="G51" s="19">
        <v>530</v>
      </c>
      <c r="H51" s="19">
        <v>9.8</v>
      </c>
      <c r="I51" s="19" t="s">
        <v>494</v>
      </c>
      <c r="J51" s="19" t="s">
        <v>108</v>
      </c>
      <c r="K51" s="19" t="b">
        <v>0</v>
      </c>
      <c r="L51" s="15">
        <v>2013</v>
      </c>
      <c r="M51" s="16">
        <v>0.0407</v>
      </c>
      <c r="N51" s="16">
        <v>0.0536</v>
      </c>
      <c r="O51" s="16">
        <v>0.2008</v>
      </c>
      <c r="P51" s="16">
        <v>0.0541</v>
      </c>
      <c r="Q51" s="20">
        <v>41453</v>
      </c>
      <c r="R51" s="20">
        <v>41453</v>
      </c>
    </row>
    <row r="52" spans="1:18" ht="14.25">
      <c r="A52" s="17">
        <v>2013</v>
      </c>
      <c r="B52" s="18" t="s">
        <v>482</v>
      </c>
      <c r="C52" s="18" t="s">
        <v>483</v>
      </c>
      <c r="D52" s="19">
        <v>3021062</v>
      </c>
      <c r="E52" s="19">
        <v>2</v>
      </c>
      <c r="F52" s="19"/>
      <c r="G52" s="19">
        <v>670</v>
      </c>
      <c r="H52" s="19">
        <v>12.1</v>
      </c>
      <c r="I52" s="19"/>
      <c r="J52" s="19" t="s">
        <v>125</v>
      </c>
      <c r="K52" s="19" t="b">
        <v>1</v>
      </c>
      <c r="L52" s="15">
        <v>2013</v>
      </c>
      <c r="M52" s="16">
        <v>0</v>
      </c>
      <c r="N52" s="16">
        <v>0</v>
      </c>
      <c r="O52" s="16">
        <v>0</v>
      </c>
      <c r="P52" s="16">
        <v>0</v>
      </c>
      <c r="Q52" s="20">
        <v>41453</v>
      </c>
      <c r="R52" s="20">
        <v>41453</v>
      </c>
    </row>
    <row r="53" spans="1:18" ht="14.25">
      <c r="A53" s="17">
        <v>2013</v>
      </c>
      <c r="B53" s="18" t="s">
        <v>482</v>
      </c>
      <c r="C53" s="18" t="s">
        <v>483</v>
      </c>
      <c r="D53" s="19">
        <v>3021062</v>
      </c>
      <c r="E53" s="19">
        <v>2</v>
      </c>
      <c r="F53" s="19"/>
      <c r="G53" s="19">
        <v>80</v>
      </c>
      <c r="H53" s="19" t="s">
        <v>54</v>
      </c>
      <c r="I53" s="19"/>
      <c r="J53" s="19" t="s">
        <v>55</v>
      </c>
      <c r="K53" s="19" t="b">
        <v>1</v>
      </c>
      <c r="L53" s="15">
        <v>2013</v>
      </c>
      <c r="M53" s="16">
        <v>0</v>
      </c>
      <c r="N53" s="16">
        <v>0</v>
      </c>
      <c r="O53" s="16">
        <v>0</v>
      </c>
      <c r="P53" s="16">
        <v>0</v>
      </c>
      <c r="Q53" s="20">
        <v>41453</v>
      </c>
      <c r="R53" s="20">
        <v>41453</v>
      </c>
    </row>
    <row r="54" spans="1:18" ht="14.25">
      <c r="A54" s="17">
        <v>2013</v>
      </c>
      <c r="B54" s="18" t="s">
        <v>482</v>
      </c>
      <c r="C54" s="18" t="s">
        <v>483</v>
      </c>
      <c r="D54" s="19">
        <v>3021062</v>
      </c>
      <c r="E54" s="19">
        <v>2</v>
      </c>
      <c r="F54" s="19"/>
      <c r="G54" s="19">
        <v>380</v>
      </c>
      <c r="H54" s="19">
        <v>6.2</v>
      </c>
      <c r="I54" s="19" t="s">
        <v>500</v>
      </c>
      <c r="J54" s="19" t="s">
        <v>93</v>
      </c>
      <c r="K54" s="19" t="b">
        <v>0</v>
      </c>
      <c r="L54" s="15">
        <v>2013</v>
      </c>
      <c r="M54" s="16">
        <v>0.5637</v>
      </c>
      <c r="N54" s="16">
        <v>0.649</v>
      </c>
      <c r="O54" s="16">
        <v>0.3122</v>
      </c>
      <c r="P54" s="16">
        <v>0.3187</v>
      </c>
      <c r="Q54" s="20">
        <v>41453</v>
      </c>
      <c r="R54" s="20">
        <v>41453</v>
      </c>
    </row>
    <row r="55" spans="1:18" ht="14.25">
      <c r="A55" s="17">
        <v>2013</v>
      </c>
      <c r="B55" s="18" t="s">
        <v>482</v>
      </c>
      <c r="C55" s="18" t="s">
        <v>483</v>
      </c>
      <c r="D55" s="19">
        <v>3021062</v>
      </c>
      <c r="E55" s="19">
        <v>2</v>
      </c>
      <c r="F55" s="19"/>
      <c r="G55" s="19">
        <v>910</v>
      </c>
      <c r="H55" s="19" t="s">
        <v>157</v>
      </c>
      <c r="I55" s="19"/>
      <c r="J55" s="19" t="s">
        <v>158</v>
      </c>
      <c r="K55" s="19" t="b">
        <v>1</v>
      </c>
      <c r="L55" s="15">
        <v>2013</v>
      </c>
      <c r="M55" s="16">
        <v>0</v>
      </c>
      <c r="N55" s="16">
        <v>0</v>
      </c>
      <c r="O55" s="16">
        <v>0</v>
      </c>
      <c r="P55" s="16">
        <v>0</v>
      </c>
      <c r="Q55" s="20">
        <v>41453</v>
      </c>
      <c r="R55" s="20">
        <v>41453</v>
      </c>
    </row>
    <row r="56" spans="1:18" ht="14.25">
      <c r="A56" s="17">
        <v>2013</v>
      </c>
      <c r="B56" s="18" t="s">
        <v>482</v>
      </c>
      <c r="C56" s="18" t="s">
        <v>483</v>
      </c>
      <c r="D56" s="19">
        <v>3021062</v>
      </c>
      <c r="E56" s="19">
        <v>2</v>
      </c>
      <c r="F56" s="19"/>
      <c r="G56" s="19">
        <v>840</v>
      </c>
      <c r="H56" s="19">
        <v>13.5</v>
      </c>
      <c r="I56" s="19"/>
      <c r="J56" s="19" t="s">
        <v>150</v>
      </c>
      <c r="K56" s="19" t="b">
        <v>1</v>
      </c>
      <c r="L56" s="15">
        <v>2013</v>
      </c>
      <c r="M56" s="16">
        <v>0</v>
      </c>
      <c r="N56" s="16">
        <v>0</v>
      </c>
      <c r="O56" s="16">
        <v>0</v>
      </c>
      <c r="P56" s="16">
        <v>0</v>
      </c>
      <c r="Q56" s="20">
        <v>41453</v>
      </c>
      <c r="R56" s="20">
        <v>41453</v>
      </c>
    </row>
    <row r="57" spans="1:18" ht="14.25">
      <c r="A57" s="17">
        <v>2013</v>
      </c>
      <c r="B57" s="18" t="s">
        <v>482</v>
      </c>
      <c r="C57" s="18" t="s">
        <v>483</v>
      </c>
      <c r="D57" s="19">
        <v>3021062</v>
      </c>
      <c r="E57" s="19">
        <v>2</v>
      </c>
      <c r="F57" s="19"/>
      <c r="G57" s="19">
        <v>50</v>
      </c>
      <c r="H57" s="19" t="s">
        <v>48</v>
      </c>
      <c r="I57" s="19"/>
      <c r="J57" s="19" t="s">
        <v>49</v>
      </c>
      <c r="K57" s="19" t="b">
        <v>1</v>
      </c>
      <c r="L57" s="15">
        <v>2013</v>
      </c>
      <c r="M57" s="16">
        <v>0</v>
      </c>
      <c r="N57" s="16">
        <v>0</v>
      </c>
      <c r="O57" s="16">
        <v>0</v>
      </c>
      <c r="P57" s="16">
        <v>0</v>
      </c>
      <c r="Q57" s="20">
        <v>41453</v>
      </c>
      <c r="R57" s="20">
        <v>41453</v>
      </c>
    </row>
    <row r="58" spans="1:18" ht="14.25">
      <c r="A58" s="17">
        <v>2013</v>
      </c>
      <c r="B58" s="18" t="s">
        <v>482</v>
      </c>
      <c r="C58" s="18" t="s">
        <v>483</v>
      </c>
      <c r="D58" s="19">
        <v>3021062</v>
      </c>
      <c r="E58" s="19">
        <v>2</v>
      </c>
      <c r="F58" s="19"/>
      <c r="G58" s="19">
        <v>220</v>
      </c>
      <c r="H58" s="19">
        <v>4.1</v>
      </c>
      <c r="I58" s="19"/>
      <c r="J58" s="19" t="s">
        <v>73</v>
      </c>
      <c r="K58" s="19" t="b">
        <v>0</v>
      </c>
      <c r="L58" s="15">
        <v>2013</v>
      </c>
      <c r="M58" s="16">
        <v>0</v>
      </c>
      <c r="N58" s="16">
        <v>0</v>
      </c>
      <c r="O58" s="16">
        <v>1088986</v>
      </c>
      <c r="P58" s="16">
        <v>1088986.44</v>
      </c>
      <c r="Q58" s="20">
        <v>41453</v>
      </c>
      <c r="R58" s="20">
        <v>41453</v>
      </c>
    </row>
    <row r="59" spans="1:18" ht="14.25">
      <c r="A59" s="17">
        <v>2013</v>
      </c>
      <c r="B59" s="18" t="s">
        <v>482</v>
      </c>
      <c r="C59" s="18" t="s">
        <v>483</v>
      </c>
      <c r="D59" s="19">
        <v>3021062</v>
      </c>
      <c r="E59" s="19">
        <v>2</v>
      </c>
      <c r="F59" s="19"/>
      <c r="G59" s="19">
        <v>170</v>
      </c>
      <c r="H59" s="19" t="s">
        <v>68</v>
      </c>
      <c r="I59" s="19"/>
      <c r="J59" s="19" t="s">
        <v>69</v>
      </c>
      <c r="K59" s="19" t="b">
        <v>1</v>
      </c>
      <c r="L59" s="15">
        <v>2013</v>
      </c>
      <c r="M59" s="16">
        <v>331174.84</v>
      </c>
      <c r="N59" s="16">
        <v>430465.97</v>
      </c>
      <c r="O59" s="16">
        <v>523000</v>
      </c>
      <c r="P59" s="16">
        <v>481394.65</v>
      </c>
      <c r="Q59" s="20">
        <v>41453</v>
      </c>
      <c r="R59" s="20">
        <v>41453</v>
      </c>
    </row>
    <row r="60" spans="1:18" ht="14.25">
      <c r="A60" s="17">
        <v>2013</v>
      </c>
      <c r="B60" s="18" t="s">
        <v>482</v>
      </c>
      <c r="C60" s="18" t="s">
        <v>483</v>
      </c>
      <c r="D60" s="19">
        <v>3021062</v>
      </c>
      <c r="E60" s="19">
        <v>2</v>
      </c>
      <c r="F60" s="19"/>
      <c r="G60" s="19">
        <v>870</v>
      </c>
      <c r="H60" s="19">
        <v>14</v>
      </c>
      <c r="I60" s="19"/>
      <c r="J60" s="19" t="s">
        <v>153</v>
      </c>
      <c r="K60" s="19" t="b">
        <v>1</v>
      </c>
      <c r="L60" s="15">
        <v>2013</v>
      </c>
      <c r="M60" s="16">
        <v>0</v>
      </c>
      <c r="N60" s="16">
        <v>0</v>
      </c>
      <c r="O60" s="16">
        <v>0</v>
      </c>
      <c r="P60" s="16">
        <v>0</v>
      </c>
      <c r="Q60" s="20">
        <v>41453</v>
      </c>
      <c r="R60" s="20">
        <v>41453</v>
      </c>
    </row>
    <row r="61" spans="1:18" ht="14.25">
      <c r="A61" s="17">
        <v>2013</v>
      </c>
      <c r="B61" s="18" t="s">
        <v>482</v>
      </c>
      <c r="C61" s="18" t="s">
        <v>483</v>
      </c>
      <c r="D61" s="19">
        <v>3021062</v>
      </c>
      <c r="E61" s="19">
        <v>2</v>
      </c>
      <c r="F61" s="19"/>
      <c r="G61" s="19">
        <v>410</v>
      </c>
      <c r="H61" s="19">
        <v>8</v>
      </c>
      <c r="I61" s="19"/>
      <c r="J61" s="19" t="s">
        <v>177</v>
      </c>
      <c r="K61" s="19" t="b">
        <v>1</v>
      </c>
      <c r="L61" s="15">
        <v>2013</v>
      </c>
      <c r="M61" s="16">
        <v>0</v>
      </c>
      <c r="N61" s="16">
        <v>0</v>
      </c>
      <c r="O61" s="16">
        <v>0</v>
      </c>
      <c r="P61" s="16">
        <v>0</v>
      </c>
      <c r="Q61" s="20">
        <v>41453</v>
      </c>
      <c r="R61" s="20">
        <v>41453</v>
      </c>
    </row>
    <row r="62" spans="1:18" ht="14.25">
      <c r="A62" s="17">
        <v>2013</v>
      </c>
      <c r="B62" s="18" t="s">
        <v>482</v>
      </c>
      <c r="C62" s="18" t="s">
        <v>483</v>
      </c>
      <c r="D62" s="19">
        <v>3021062</v>
      </c>
      <c r="E62" s="19">
        <v>2</v>
      </c>
      <c r="F62" s="19"/>
      <c r="G62" s="19">
        <v>440</v>
      </c>
      <c r="H62" s="19">
        <v>9</v>
      </c>
      <c r="I62" s="19"/>
      <c r="J62" s="19" t="s">
        <v>180</v>
      </c>
      <c r="K62" s="19" t="b">
        <v>0</v>
      </c>
      <c r="L62" s="15">
        <v>2013</v>
      </c>
      <c r="M62" s="16">
        <v>0</v>
      </c>
      <c r="N62" s="16">
        <v>0</v>
      </c>
      <c r="O62" s="16">
        <v>0</v>
      </c>
      <c r="P62" s="16">
        <v>0</v>
      </c>
      <c r="Q62" s="20">
        <v>41453</v>
      </c>
      <c r="R62" s="20">
        <v>41453</v>
      </c>
    </row>
    <row r="63" spans="1:18" ht="14.25">
      <c r="A63" s="17">
        <v>2013</v>
      </c>
      <c r="B63" s="18" t="s">
        <v>482</v>
      </c>
      <c r="C63" s="18" t="s">
        <v>483</v>
      </c>
      <c r="D63" s="19">
        <v>3021062</v>
      </c>
      <c r="E63" s="19">
        <v>2</v>
      </c>
      <c r="F63" s="19"/>
      <c r="G63" s="19">
        <v>110</v>
      </c>
      <c r="H63" s="19" t="s">
        <v>59</v>
      </c>
      <c r="I63" s="19"/>
      <c r="J63" s="19" t="s">
        <v>60</v>
      </c>
      <c r="K63" s="19" t="b">
        <v>1</v>
      </c>
      <c r="L63" s="15">
        <v>2013</v>
      </c>
      <c r="M63" s="16">
        <v>0</v>
      </c>
      <c r="N63" s="16">
        <v>0</v>
      </c>
      <c r="O63" s="16">
        <v>0</v>
      </c>
      <c r="P63" s="16">
        <v>0</v>
      </c>
      <c r="Q63" s="20">
        <v>41453</v>
      </c>
      <c r="R63" s="20">
        <v>41453</v>
      </c>
    </row>
    <row r="64" spans="1:18" ht="14.25">
      <c r="A64" s="17">
        <v>2013</v>
      </c>
      <c r="B64" s="18" t="s">
        <v>482</v>
      </c>
      <c r="C64" s="18" t="s">
        <v>483</v>
      </c>
      <c r="D64" s="19">
        <v>3021062</v>
      </c>
      <c r="E64" s="19">
        <v>2</v>
      </c>
      <c r="F64" s="19"/>
      <c r="G64" s="19">
        <v>290</v>
      </c>
      <c r="H64" s="19" t="s">
        <v>82</v>
      </c>
      <c r="I64" s="19"/>
      <c r="J64" s="19" t="s">
        <v>78</v>
      </c>
      <c r="K64" s="19" t="b">
        <v>0</v>
      </c>
      <c r="L64" s="15">
        <v>2013</v>
      </c>
      <c r="M64" s="16">
        <v>0</v>
      </c>
      <c r="N64" s="16">
        <v>0</v>
      </c>
      <c r="O64" s="16">
        <v>0</v>
      </c>
      <c r="P64" s="16">
        <v>0</v>
      </c>
      <c r="Q64" s="20">
        <v>41453</v>
      </c>
      <c r="R64" s="20">
        <v>41453</v>
      </c>
    </row>
    <row r="65" spans="1:18" ht="14.25">
      <c r="A65" s="17">
        <v>2013</v>
      </c>
      <c r="B65" s="18" t="s">
        <v>482</v>
      </c>
      <c r="C65" s="18" t="s">
        <v>483</v>
      </c>
      <c r="D65" s="19">
        <v>3021062</v>
      </c>
      <c r="E65" s="19">
        <v>2</v>
      </c>
      <c r="F65" s="19"/>
      <c r="G65" s="19">
        <v>360</v>
      </c>
      <c r="H65" s="19">
        <v>6.1</v>
      </c>
      <c r="I65" s="19"/>
      <c r="J65" s="19" t="s">
        <v>504</v>
      </c>
      <c r="K65" s="19" t="b">
        <v>1</v>
      </c>
      <c r="L65" s="15">
        <v>2013</v>
      </c>
      <c r="M65" s="16">
        <v>0</v>
      </c>
      <c r="N65" s="16">
        <v>0</v>
      </c>
      <c r="O65" s="16">
        <v>0</v>
      </c>
      <c r="P65" s="16">
        <v>0</v>
      </c>
      <c r="Q65" s="20">
        <v>41453</v>
      </c>
      <c r="R65" s="20">
        <v>41453</v>
      </c>
    </row>
    <row r="66" spans="1:18" ht="14.25">
      <c r="A66" s="17">
        <v>2013</v>
      </c>
      <c r="B66" s="18" t="s">
        <v>482</v>
      </c>
      <c r="C66" s="18" t="s">
        <v>483</v>
      </c>
      <c r="D66" s="19">
        <v>3021062</v>
      </c>
      <c r="E66" s="19">
        <v>2</v>
      </c>
      <c r="F66" s="19"/>
      <c r="G66" s="19">
        <v>100</v>
      </c>
      <c r="H66" s="19" t="s">
        <v>57</v>
      </c>
      <c r="I66" s="19"/>
      <c r="J66" s="19" t="s">
        <v>58</v>
      </c>
      <c r="K66" s="19" t="b">
        <v>1</v>
      </c>
      <c r="L66" s="15">
        <v>2013</v>
      </c>
      <c r="M66" s="16">
        <v>735231.84</v>
      </c>
      <c r="N66" s="16">
        <v>609792.02</v>
      </c>
      <c r="O66" s="16">
        <v>2844700</v>
      </c>
      <c r="P66" s="16">
        <v>2244564.3</v>
      </c>
      <c r="Q66" s="20">
        <v>41453</v>
      </c>
      <c r="R66" s="20">
        <v>41453</v>
      </c>
    </row>
    <row r="67" spans="1:18" ht="14.25">
      <c r="A67" s="17">
        <v>2013</v>
      </c>
      <c r="B67" s="18" t="s">
        <v>482</v>
      </c>
      <c r="C67" s="18" t="s">
        <v>483</v>
      </c>
      <c r="D67" s="19">
        <v>3021062</v>
      </c>
      <c r="E67" s="19">
        <v>2</v>
      </c>
      <c r="F67" s="19"/>
      <c r="G67" s="19">
        <v>400</v>
      </c>
      <c r="H67" s="19">
        <v>7</v>
      </c>
      <c r="I67" s="19"/>
      <c r="J67" s="19" t="s">
        <v>95</v>
      </c>
      <c r="K67" s="19" t="b">
        <v>1</v>
      </c>
      <c r="L67" s="15">
        <v>2013</v>
      </c>
      <c r="M67" s="16">
        <v>0</v>
      </c>
      <c r="N67" s="16">
        <v>0</v>
      </c>
      <c r="O67" s="16">
        <v>0</v>
      </c>
      <c r="P67" s="16">
        <v>0</v>
      </c>
      <c r="Q67" s="20">
        <v>41453</v>
      </c>
      <c r="R67" s="20">
        <v>41453</v>
      </c>
    </row>
    <row r="68" spans="1:18" ht="14.25">
      <c r="A68" s="17">
        <v>2013</v>
      </c>
      <c r="B68" s="18" t="s">
        <v>482</v>
      </c>
      <c r="C68" s="18" t="s">
        <v>483</v>
      </c>
      <c r="D68" s="19">
        <v>3021062</v>
      </c>
      <c r="E68" s="19">
        <v>2</v>
      </c>
      <c r="F68" s="19"/>
      <c r="G68" s="19">
        <v>560</v>
      </c>
      <c r="H68" s="19">
        <v>10.1</v>
      </c>
      <c r="I68" s="19"/>
      <c r="J68" s="19" t="s">
        <v>112</v>
      </c>
      <c r="K68" s="19" t="b">
        <v>0</v>
      </c>
      <c r="L68" s="15">
        <v>2013</v>
      </c>
      <c r="M68" s="16">
        <v>0</v>
      </c>
      <c r="N68" s="16">
        <v>0</v>
      </c>
      <c r="O68" s="16">
        <v>0</v>
      </c>
      <c r="P68" s="16">
        <v>0</v>
      </c>
      <c r="Q68" s="20">
        <v>41453</v>
      </c>
      <c r="R68" s="20">
        <v>41453</v>
      </c>
    </row>
    <row r="69" spans="1:18" ht="14.25">
      <c r="A69" s="17">
        <v>2013</v>
      </c>
      <c r="B69" s="18" t="s">
        <v>482</v>
      </c>
      <c r="C69" s="18" t="s">
        <v>483</v>
      </c>
      <c r="D69" s="19">
        <v>3021062</v>
      </c>
      <c r="E69" s="19">
        <v>2</v>
      </c>
      <c r="F69" s="19"/>
      <c r="G69" s="19">
        <v>130</v>
      </c>
      <c r="H69" s="19">
        <v>2.1</v>
      </c>
      <c r="I69" s="19"/>
      <c r="J69" s="19" t="s">
        <v>61</v>
      </c>
      <c r="K69" s="19" t="b">
        <v>1</v>
      </c>
      <c r="L69" s="15">
        <v>2013</v>
      </c>
      <c r="M69" s="16">
        <v>14506921.92</v>
      </c>
      <c r="N69" s="16">
        <v>15158377.44</v>
      </c>
      <c r="O69" s="16">
        <v>17619717</v>
      </c>
      <c r="P69" s="16">
        <v>16837409.82</v>
      </c>
      <c r="Q69" s="20">
        <v>41453</v>
      </c>
      <c r="R69" s="20">
        <v>41453</v>
      </c>
    </row>
    <row r="70" spans="1:18" ht="14.25">
      <c r="A70" s="17">
        <v>2013</v>
      </c>
      <c r="B70" s="18" t="s">
        <v>482</v>
      </c>
      <c r="C70" s="18" t="s">
        <v>483</v>
      </c>
      <c r="D70" s="19">
        <v>3021062</v>
      </c>
      <c r="E70" s="19">
        <v>2</v>
      </c>
      <c r="F70" s="19"/>
      <c r="G70" s="19">
        <v>650</v>
      </c>
      <c r="H70" s="19">
        <v>11.6</v>
      </c>
      <c r="I70" s="19"/>
      <c r="J70" s="19" t="s">
        <v>123</v>
      </c>
      <c r="K70" s="19" t="b">
        <v>1</v>
      </c>
      <c r="L70" s="15">
        <v>2013</v>
      </c>
      <c r="M70" s="16">
        <v>0</v>
      </c>
      <c r="N70" s="16">
        <v>0</v>
      </c>
      <c r="O70" s="16">
        <v>0</v>
      </c>
      <c r="P70" s="16">
        <v>399937</v>
      </c>
      <c r="Q70" s="20">
        <v>41453</v>
      </c>
      <c r="R70" s="20">
        <v>41453</v>
      </c>
    </row>
    <row r="71" spans="1:18" ht="14.25">
      <c r="A71" s="17">
        <v>2013</v>
      </c>
      <c r="B71" s="18" t="s">
        <v>482</v>
      </c>
      <c r="C71" s="18" t="s">
        <v>483</v>
      </c>
      <c r="D71" s="19">
        <v>3021062</v>
      </c>
      <c r="E71" s="19">
        <v>2</v>
      </c>
      <c r="F71" s="19"/>
      <c r="G71" s="19">
        <v>90</v>
      </c>
      <c r="H71" s="19">
        <v>1.2</v>
      </c>
      <c r="I71" s="19"/>
      <c r="J71" s="19" t="s">
        <v>56</v>
      </c>
      <c r="K71" s="19" t="b">
        <v>1</v>
      </c>
      <c r="L71" s="15">
        <v>2013</v>
      </c>
      <c r="M71" s="16">
        <v>1828253.5</v>
      </c>
      <c r="N71" s="16">
        <v>1427675.8</v>
      </c>
      <c r="O71" s="16">
        <v>8355097</v>
      </c>
      <c r="P71" s="16">
        <v>6909821.55</v>
      </c>
      <c r="Q71" s="20">
        <v>41453</v>
      </c>
      <c r="R71" s="20">
        <v>41453</v>
      </c>
    </row>
    <row r="72" spans="1:18" ht="14.25">
      <c r="A72" s="17">
        <v>2013</v>
      </c>
      <c r="B72" s="18" t="s">
        <v>482</v>
      </c>
      <c r="C72" s="18" t="s">
        <v>483</v>
      </c>
      <c r="D72" s="19">
        <v>3021062</v>
      </c>
      <c r="E72" s="19">
        <v>2</v>
      </c>
      <c r="F72" s="19"/>
      <c r="G72" s="19">
        <v>820</v>
      </c>
      <c r="H72" s="19">
        <v>13.3</v>
      </c>
      <c r="I72" s="19"/>
      <c r="J72" s="19" t="s">
        <v>148</v>
      </c>
      <c r="K72" s="19" t="b">
        <v>1</v>
      </c>
      <c r="L72" s="15">
        <v>2013</v>
      </c>
      <c r="M72" s="16">
        <v>0</v>
      </c>
      <c r="N72" s="16">
        <v>0</v>
      </c>
      <c r="O72" s="16">
        <v>0</v>
      </c>
      <c r="P72" s="16">
        <v>0</v>
      </c>
      <c r="Q72" s="20">
        <v>41453</v>
      </c>
      <c r="R72" s="20">
        <v>41453</v>
      </c>
    </row>
    <row r="73" spans="1:18" ht="14.25">
      <c r="A73" s="17">
        <v>2013</v>
      </c>
      <c r="B73" s="18" t="s">
        <v>482</v>
      </c>
      <c r="C73" s="18" t="s">
        <v>483</v>
      </c>
      <c r="D73" s="19">
        <v>3021062</v>
      </c>
      <c r="E73" s="19">
        <v>2</v>
      </c>
      <c r="F73" s="19"/>
      <c r="G73" s="19">
        <v>150</v>
      </c>
      <c r="H73" s="19" t="s">
        <v>64</v>
      </c>
      <c r="I73" s="19"/>
      <c r="J73" s="19" t="s">
        <v>65</v>
      </c>
      <c r="K73" s="19" t="b">
        <v>1</v>
      </c>
      <c r="L73" s="15">
        <v>2013</v>
      </c>
      <c r="M73" s="16">
        <v>0</v>
      </c>
      <c r="N73" s="16">
        <v>0</v>
      </c>
      <c r="O73" s="16">
        <v>0</v>
      </c>
      <c r="P73" s="16">
        <v>0</v>
      </c>
      <c r="Q73" s="20">
        <v>41453</v>
      </c>
      <c r="R73" s="20">
        <v>41453</v>
      </c>
    </row>
    <row r="74" spans="1:18" ht="14.25">
      <c r="A74" s="17">
        <v>2013</v>
      </c>
      <c r="B74" s="18" t="s">
        <v>482</v>
      </c>
      <c r="C74" s="18" t="s">
        <v>483</v>
      </c>
      <c r="D74" s="19">
        <v>3021062</v>
      </c>
      <c r="E74" s="19">
        <v>2</v>
      </c>
      <c r="F74" s="19"/>
      <c r="G74" s="19">
        <v>340</v>
      </c>
      <c r="H74" s="19">
        <v>5.2</v>
      </c>
      <c r="I74" s="19"/>
      <c r="J74" s="19" t="s">
        <v>89</v>
      </c>
      <c r="K74" s="19" t="b">
        <v>0</v>
      </c>
      <c r="L74" s="15">
        <v>2013</v>
      </c>
      <c r="M74" s="16">
        <v>0</v>
      </c>
      <c r="N74" s="16">
        <v>0</v>
      </c>
      <c r="O74" s="16">
        <v>262990</v>
      </c>
      <c r="P74" s="16">
        <v>180996</v>
      </c>
      <c r="Q74" s="20">
        <v>41453</v>
      </c>
      <c r="R74" s="20">
        <v>41453</v>
      </c>
    </row>
    <row r="75" spans="1:18" ht="14.25">
      <c r="A75" s="17">
        <v>2013</v>
      </c>
      <c r="B75" s="18" t="s">
        <v>482</v>
      </c>
      <c r="C75" s="18" t="s">
        <v>483</v>
      </c>
      <c r="D75" s="19">
        <v>3021062</v>
      </c>
      <c r="E75" s="19">
        <v>2</v>
      </c>
      <c r="F75" s="19"/>
      <c r="G75" s="19">
        <v>250</v>
      </c>
      <c r="H75" s="19" t="s">
        <v>77</v>
      </c>
      <c r="I75" s="19"/>
      <c r="J75" s="19" t="s">
        <v>78</v>
      </c>
      <c r="K75" s="19" t="b">
        <v>0</v>
      </c>
      <c r="L75" s="15">
        <v>2013</v>
      </c>
      <c r="M75" s="16">
        <v>0</v>
      </c>
      <c r="N75" s="16">
        <v>0</v>
      </c>
      <c r="O75" s="16">
        <v>0</v>
      </c>
      <c r="P75" s="16">
        <v>0</v>
      </c>
      <c r="Q75" s="20">
        <v>41453</v>
      </c>
      <c r="R75" s="20">
        <v>41453</v>
      </c>
    </row>
    <row r="76" spans="1:18" ht="14.25">
      <c r="A76" s="17">
        <v>2013</v>
      </c>
      <c r="B76" s="18" t="s">
        <v>482</v>
      </c>
      <c r="C76" s="18" t="s">
        <v>483</v>
      </c>
      <c r="D76" s="19">
        <v>3021062</v>
      </c>
      <c r="E76" s="19">
        <v>2</v>
      </c>
      <c r="F76" s="19"/>
      <c r="G76" s="19">
        <v>370</v>
      </c>
      <c r="H76" s="19" t="s">
        <v>91</v>
      </c>
      <c r="I76" s="19"/>
      <c r="J76" s="19" t="s">
        <v>92</v>
      </c>
      <c r="K76" s="19" t="b">
        <v>1</v>
      </c>
      <c r="L76" s="15">
        <v>2013</v>
      </c>
      <c r="M76" s="16">
        <v>2412650.19</v>
      </c>
      <c r="N76" s="16">
        <v>3891345</v>
      </c>
      <c r="O76" s="16">
        <v>0</v>
      </c>
      <c r="P76" s="16">
        <v>0</v>
      </c>
      <c r="Q76" s="20">
        <v>41453</v>
      </c>
      <c r="R76" s="20">
        <v>41453</v>
      </c>
    </row>
    <row r="77" spans="1:18" ht="14.25">
      <c r="A77" s="17">
        <v>2013</v>
      </c>
      <c r="B77" s="18" t="s">
        <v>482</v>
      </c>
      <c r="C77" s="18" t="s">
        <v>483</v>
      </c>
      <c r="D77" s="19">
        <v>3021062</v>
      </c>
      <c r="E77" s="19">
        <v>2</v>
      </c>
      <c r="F77" s="19"/>
      <c r="G77" s="19">
        <v>750</v>
      </c>
      <c r="H77" s="19" t="s">
        <v>138</v>
      </c>
      <c r="I77" s="19"/>
      <c r="J77" s="19" t="s">
        <v>139</v>
      </c>
      <c r="K77" s="19" t="b">
        <v>0</v>
      </c>
      <c r="L77" s="15">
        <v>2013</v>
      </c>
      <c r="M77" s="16">
        <v>0</v>
      </c>
      <c r="N77" s="16">
        <v>0</v>
      </c>
      <c r="O77" s="16">
        <v>0</v>
      </c>
      <c r="P77" s="16">
        <v>0</v>
      </c>
      <c r="Q77" s="20">
        <v>41453</v>
      </c>
      <c r="R77" s="20">
        <v>41453</v>
      </c>
    </row>
    <row r="78" spans="1:18" ht="14.25">
      <c r="A78" s="17">
        <v>2013</v>
      </c>
      <c r="B78" s="18" t="s">
        <v>482</v>
      </c>
      <c r="C78" s="18" t="s">
        <v>483</v>
      </c>
      <c r="D78" s="19">
        <v>3021062</v>
      </c>
      <c r="E78" s="19">
        <v>2</v>
      </c>
      <c r="F78" s="19"/>
      <c r="G78" s="19">
        <v>420</v>
      </c>
      <c r="H78" s="19">
        <v>8.1</v>
      </c>
      <c r="I78" s="19" t="s">
        <v>487</v>
      </c>
      <c r="J78" s="19" t="s">
        <v>96</v>
      </c>
      <c r="K78" s="19" t="b">
        <v>0</v>
      </c>
      <c r="L78" s="15">
        <v>2013</v>
      </c>
      <c r="M78" s="16">
        <v>1358915.02</v>
      </c>
      <c r="N78" s="16">
        <v>2751972.83</v>
      </c>
      <c r="O78" s="16">
        <v>22721</v>
      </c>
      <c r="P78" s="16">
        <v>897103.21</v>
      </c>
      <c r="Q78" s="20">
        <v>41453</v>
      </c>
      <c r="R78" s="20">
        <v>41453</v>
      </c>
    </row>
    <row r="79" spans="1:18" ht="14.25">
      <c r="A79" s="17">
        <v>2013</v>
      </c>
      <c r="B79" s="18" t="s">
        <v>482</v>
      </c>
      <c r="C79" s="18" t="s">
        <v>483</v>
      </c>
      <c r="D79" s="19">
        <v>3021062</v>
      </c>
      <c r="E79" s="19">
        <v>2</v>
      </c>
      <c r="F79" s="19"/>
      <c r="G79" s="19">
        <v>610</v>
      </c>
      <c r="H79" s="19" t="s">
        <v>117</v>
      </c>
      <c r="I79" s="19"/>
      <c r="J79" s="19" t="s">
        <v>118</v>
      </c>
      <c r="K79" s="19" t="b">
        <v>1</v>
      </c>
      <c r="L79" s="15">
        <v>2013</v>
      </c>
      <c r="M79" s="16">
        <v>31989</v>
      </c>
      <c r="N79" s="16">
        <v>122229.98</v>
      </c>
      <c r="O79" s="16">
        <v>437610</v>
      </c>
      <c r="P79" s="16">
        <v>0</v>
      </c>
      <c r="Q79" s="20">
        <v>41453</v>
      </c>
      <c r="R79" s="20">
        <v>41453</v>
      </c>
    </row>
    <row r="80" spans="1:18" ht="14.25">
      <c r="A80" s="17">
        <v>2013</v>
      </c>
      <c r="B80" s="18" t="s">
        <v>482</v>
      </c>
      <c r="C80" s="18" t="s">
        <v>483</v>
      </c>
      <c r="D80" s="19">
        <v>3021062</v>
      </c>
      <c r="E80" s="19">
        <v>2</v>
      </c>
      <c r="F80" s="19"/>
      <c r="G80" s="19">
        <v>590</v>
      </c>
      <c r="H80" s="19">
        <v>11.2</v>
      </c>
      <c r="I80" s="19"/>
      <c r="J80" s="19" t="s">
        <v>115</v>
      </c>
      <c r="K80" s="19" t="b">
        <v>1</v>
      </c>
      <c r="L80" s="15">
        <v>2013</v>
      </c>
      <c r="M80" s="16">
        <v>0</v>
      </c>
      <c r="N80" s="16">
        <v>0</v>
      </c>
      <c r="O80" s="16">
        <v>0</v>
      </c>
      <c r="P80" s="16">
        <v>1576869.42</v>
      </c>
      <c r="Q80" s="20">
        <v>41453</v>
      </c>
      <c r="R80" s="20">
        <v>41453</v>
      </c>
    </row>
    <row r="81" spans="1:18" ht="14.25">
      <c r="A81" s="17">
        <v>2013</v>
      </c>
      <c r="B81" s="18" t="s">
        <v>482</v>
      </c>
      <c r="C81" s="18" t="s">
        <v>483</v>
      </c>
      <c r="D81" s="19">
        <v>3021062</v>
      </c>
      <c r="E81" s="19">
        <v>2</v>
      </c>
      <c r="F81" s="19"/>
      <c r="G81" s="19">
        <v>880</v>
      </c>
      <c r="H81" s="19">
        <v>14.1</v>
      </c>
      <c r="I81" s="19"/>
      <c r="J81" s="19" t="s">
        <v>154</v>
      </c>
      <c r="K81" s="19" t="b">
        <v>1</v>
      </c>
      <c r="L81" s="15">
        <v>2013</v>
      </c>
      <c r="M81" s="16">
        <v>0</v>
      </c>
      <c r="N81" s="16">
        <v>0</v>
      </c>
      <c r="O81" s="16">
        <v>0</v>
      </c>
      <c r="P81" s="16">
        <v>0</v>
      </c>
      <c r="Q81" s="20">
        <v>41453</v>
      </c>
      <c r="R81" s="20">
        <v>41453</v>
      </c>
    </row>
    <row r="82" spans="1:18" ht="14.25">
      <c r="A82" s="17">
        <v>2013</v>
      </c>
      <c r="B82" s="18" t="s">
        <v>482</v>
      </c>
      <c r="C82" s="18" t="s">
        <v>483</v>
      </c>
      <c r="D82" s="19">
        <v>3021062</v>
      </c>
      <c r="E82" s="19">
        <v>2</v>
      </c>
      <c r="F82" s="19"/>
      <c r="G82" s="19">
        <v>450</v>
      </c>
      <c r="H82" s="19">
        <v>9.1</v>
      </c>
      <c r="I82" s="19" t="s">
        <v>486</v>
      </c>
      <c r="J82" s="19" t="s">
        <v>98</v>
      </c>
      <c r="K82" s="19" t="b">
        <v>1</v>
      </c>
      <c r="L82" s="15">
        <v>2013</v>
      </c>
      <c r="M82" s="16">
        <v>0.0407</v>
      </c>
      <c r="N82" s="16">
        <v>0.0536</v>
      </c>
      <c r="O82" s="16">
        <v>0.2008</v>
      </c>
      <c r="P82" s="16">
        <v>0.2101</v>
      </c>
      <c r="Q82" s="20">
        <v>41453</v>
      </c>
      <c r="R82" s="20">
        <v>41453</v>
      </c>
    </row>
    <row r="83" spans="1:18" ht="14.25">
      <c r="A83" s="17">
        <v>2013</v>
      </c>
      <c r="B83" s="18" t="s">
        <v>482</v>
      </c>
      <c r="C83" s="18" t="s">
        <v>483</v>
      </c>
      <c r="D83" s="19">
        <v>3021062</v>
      </c>
      <c r="E83" s="19">
        <v>2</v>
      </c>
      <c r="F83" s="19"/>
      <c r="G83" s="19">
        <v>600</v>
      </c>
      <c r="H83" s="19">
        <v>11.3</v>
      </c>
      <c r="I83" s="19" t="s">
        <v>491</v>
      </c>
      <c r="J83" s="19" t="s">
        <v>116</v>
      </c>
      <c r="K83" s="19" t="b">
        <v>1</v>
      </c>
      <c r="L83" s="15">
        <v>2013</v>
      </c>
      <c r="M83" s="16">
        <v>2444639.19</v>
      </c>
      <c r="N83" s="16">
        <v>518323.6</v>
      </c>
      <c r="O83" s="16">
        <v>1349610</v>
      </c>
      <c r="P83" s="16">
        <v>584688</v>
      </c>
      <c r="Q83" s="20">
        <v>41453</v>
      </c>
      <c r="R83" s="20">
        <v>41453</v>
      </c>
    </row>
    <row r="84" spans="1:18" ht="14.25">
      <c r="A84" s="17">
        <v>2013</v>
      </c>
      <c r="B84" s="18" t="s">
        <v>482</v>
      </c>
      <c r="C84" s="18" t="s">
        <v>483</v>
      </c>
      <c r="D84" s="19">
        <v>3021062</v>
      </c>
      <c r="E84" s="19">
        <v>2</v>
      </c>
      <c r="F84" s="19"/>
      <c r="G84" s="19">
        <v>120</v>
      </c>
      <c r="H84" s="19">
        <v>2</v>
      </c>
      <c r="I84" s="19" t="s">
        <v>492</v>
      </c>
      <c r="J84" s="19" t="s">
        <v>21</v>
      </c>
      <c r="K84" s="19" t="b">
        <v>0</v>
      </c>
      <c r="L84" s="15">
        <v>2013</v>
      </c>
      <c r="M84" s="16">
        <v>22089749.59</v>
      </c>
      <c r="N84" s="16">
        <v>21767768.69</v>
      </c>
      <c r="O84" s="16">
        <v>22390040</v>
      </c>
      <c r="P84" s="16">
        <v>20539963.48</v>
      </c>
      <c r="Q84" s="20">
        <v>41453</v>
      </c>
      <c r="R84" s="20">
        <v>41453</v>
      </c>
    </row>
    <row r="85" spans="1:18" ht="14.25">
      <c r="A85" s="17">
        <v>2013</v>
      </c>
      <c r="B85" s="18" t="s">
        <v>482</v>
      </c>
      <c r="C85" s="18" t="s">
        <v>483</v>
      </c>
      <c r="D85" s="19">
        <v>3021062</v>
      </c>
      <c r="E85" s="19">
        <v>2</v>
      </c>
      <c r="F85" s="19"/>
      <c r="G85" s="19">
        <v>430</v>
      </c>
      <c r="H85" s="19">
        <v>8.2</v>
      </c>
      <c r="I85" s="19" t="s">
        <v>490</v>
      </c>
      <c r="J85" s="19" t="s">
        <v>97</v>
      </c>
      <c r="K85" s="19" t="b">
        <v>0</v>
      </c>
      <c r="L85" s="15">
        <v>2013</v>
      </c>
      <c r="M85" s="16">
        <v>1358915.02</v>
      </c>
      <c r="N85" s="16">
        <v>2751972.83</v>
      </c>
      <c r="O85" s="16">
        <v>1111707</v>
      </c>
      <c r="P85" s="16">
        <v>1986089.65</v>
      </c>
      <c r="Q85" s="20">
        <v>41453</v>
      </c>
      <c r="R85" s="20">
        <v>41453</v>
      </c>
    </row>
    <row r="86" spans="1:18" ht="14.25">
      <c r="A86" s="17">
        <v>2013</v>
      </c>
      <c r="B86" s="18" t="s">
        <v>482</v>
      </c>
      <c r="C86" s="18" t="s">
        <v>483</v>
      </c>
      <c r="D86" s="19">
        <v>3021062</v>
      </c>
      <c r="E86" s="19">
        <v>2</v>
      </c>
      <c r="F86" s="19"/>
      <c r="G86" s="19">
        <v>850</v>
      </c>
      <c r="H86" s="19">
        <v>13.6</v>
      </c>
      <c r="I86" s="19"/>
      <c r="J86" s="19" t="s">
        <v>151</v>
      </c>
      <c r="K86" s="19" t="b">
        <v>1</v>
      </c>
      <c r="L86" s="15">
        <v>2013</v>
      </c>
      <c r="M86" s="16">
        <v>0</v>
      </c>
      <c r="N86" s="16">
        <v>0</v>
      </c>
      <c r="O86" s="16">
        <v>0</v>
      </c>
      <c r="P86" s="16">
        <v>0</v>
      </c>
      <c r="Q86" s="20">
        <v>41453</v>
      </c>
      <c r="R86" s="20">
        <v>41453</v>
      </c>
    </row>
    <row r="87" spans="1:18" ht="14.25">
      <c r="A87" s="17">
        <v>2013</v>
      </c>
      <c r="B87" s="18" t="s">
        <v>482</v>
      </c>
      <c r="C87" s="18" t="s">
        <v>483</v>
      </c>
      <c r="D87" s="19">
        <v>3021062</v>
      </c>
      <c r="E87" s="19">
        <v>2</v>
      </c>
      <c r="F87" s="19"/>
      <c r="G87" s="19">
        <v>660</v>
      </c>
      <c r="H87" s="19">
        <v>12</v>
      </c>
      <c r="I87" s="19"/>
      <c r="J87" s="19" t="s">
        <v>124</v>
      </c>
      <c r="K87" s="19" t="b">
        <v>1</v>
      </c>
      <c r="L87" s="15">
        <v>2013</v>
      </c>
      <c r="M87" s="16">
        <v>0</v>
      </c>
      <c r="N87" s="16">
        <v>0</v>
      </c>
      <c r="O87" s="16">
        <v>0</v>
      </c>
      <c r="P87" s="16">
        <v>0</v>
      </c>
      <c r="Q87" s="20">
        <v>41453</v>
      </c>
      <c r="R87" s="20">
        <v>41453</v>
      </c>
    </row>
    <row r="88" spans="1:18" ht="14.25">
      <c r="A88" s="17">
        <v>2013</v>
      </c>
      <c r="B88" s="18" t="s">
        <v>482</v>
      </c>
      <c r="C88" s="18" t="s">
        <v>483</v>
      </c>
      <c r="D88" s="19">
        <v>3021062</v>
      </c>
      <c r="E88" s="19">
        <v>2</v>
      </c>
      <c r="F88" s="19"/>
      <c r="G88" s="19">
        <v>470</v>
      </c>
      <c r="H88" s="19">
        <v>9.3</v>
      </c>
      <c r="I88" s="19" t="s">
        <v>486</v>
      </c>
      <c r="J88" s="19" t="s">
        <v>495</v>
      </c>
      <c r="K88" s="19" t="b">
        <v>1</v>
      </c>
      <c r="L88" s="15">
        <v>2013</v>
      </c>
      <c r="M88" s="16">
        <v>0.0407</v>
      </c>
      <c r="N88" s="16">
        <v>0.0536</v>
      </c>
      <c r="O88" s="16">
        <v>0.2008</v>
      </c>
      <c r="P88" s="16">
        <v>0.2101</v>
      </c>
      <c r="Q88" s="20">
        <v>41453</v>
      </c>
      <c r="R88" s="20">
        <v>41453</v>
      </c>
    </row>
    <row r="89" spans="1:18" ht="14.25">
      <c r="A89" s="17">
        <v>2013</v>
      </c>
      <c r="B89" s="18" t="s">
        <v>482</v>
      </c>
      <c r="C89" s="18" t="s">
        <v>483</v>
      </c>
      <c r="D89" s="19">
        <v>3021062</v>
      </c>
      <c r="E89" s="19">
        <v>2</v>
      </c>
      <c r="F89" s="19"/>
      <c r="G89" s="19">
        <v>930</v>
      </c>
      <c r="H89" s="19" t="s">
        <v>161</v>
      </c>
      <c r="I89" s="19"/>
      <c r="J89" s="19" t="s">
        <v>162</v>
      </c>
      <c r="K89" s="19" t="b">
        <v>1</v>
      </c>
      <c r="L89" s="15">
        <v>2013</v>
      </c>
      <c r="M89" s="16">
        <v>0</v>
      </c>
      <c r="N89" s="16">
        <v>0</v>
      </c>
      <c r="O89" s="16">
        <v>0</v>
      </c>
      <c r="P89" s="16">
        <v>0</v>
      </c>
      <c r="Q89" s="20">
        <v>41453</v>
      </c>
      <c r="R89" s="20">
        <v>41453</v>
      </c>
    </row>
    <row r="90" spans="1:18" ht="14.25">
      <c r="A90" s="17">
        <v>2013</v>
      </c>
      <c r="B90" s="18" t="s">
        <v>482</v>
      </c>
      <c r="C90" s="18" t="s">
        <v>483</v>
      </c>
      <c r="D90" s="19">
        <v>3021062</v>
      </c>
      <c r="E90" s="19">
        <v>2</v>
      </c>
      <c r="F90" s="19"/>
      <c r="G90" s="19">
        <v>480</v>
      </c>
      <c r="H90" s="19">
        <v>9.4</v>
      </c>
      <c r="I90" s="19" t="s">
        <v>484</v>
      </c>
      <c r="J90" s="19" t="s">
        <v>100</v>
      </c>
      <c r="K90" s="19" t="b">
        <v>0</v>
      </c>
      <c r="L90" s="15">
        <v>2013</v>
      </c>
      <c r="M90" s="16">
        <v>0.0407</v>
      </c>
      <c r="N90" s="16">
        <v>0.0536</v>
      </c>
      <c r="O90" s="16">
        <v>0.2008</v>
      </c>
      <c r="P90" s="16">
        <v>0.0541</v>
      </c>
      <c r="Q90" s="20">
        <v>41453</v>
      </c>
      <c r="R90" s="20">
        <v>41453</v>
      </c>
    </row>
    <row r="91" spans="1:18" ht="14.25">
      <c r="A91" s="17">
        <v>2013</v>
      </c>
      <c r="B91" s="18" t="s">
        <v>482</v>
      </c>
      <c r="C91" s="18" t="s">
        <v>483</v>
      </c>
      <c r="D91" s="19">
        <v>3021062</v>
      </c>
      <c r="E91" s="19">
        <v>2</v>
      </c>
      <c r="F91" s="19"/>
      <c r="G91" s="19">
        <v>540</v>
      </c>
      <c r="H91" s="19" t="s">
        <v>109</v>
      </c>
      <c r="I91" s="19" t="s">
        <v>502</v>
      </c>
      <c r="J91" s="19" t="s">
        <v>110</v>
      </c>
      <c r="K91" s="19" t="b">
        <v>0</v>
      </c>
      <c r="L91" s="15">
        <v>2013</v>
      </c>
      <c r="M91" s="16">
        <v>0.0407</v>
      </c>
      <c r="N91" s="16">
        <v>0.0536</v>
      </c>
      <c r="O91" s="16">
        <v>0.2008</v>
      </c>
      <c r="P91" s="16">
        <v>0.0541</v>
      </c>
      <c r="Q91" s="20">
        <v>41453</v>
      </c>
      <c r="R91" s="20">
        <v>41453</v>
      </c>
    </row>
    <row r="92" spans="1:18" ht="14.25">
      <c r="A92" s="17">
        <v>2013</v>
      </c>
      <c r="B92" s="18" t="s">
        <v>482</v>
      </c>
      <c r="C92" s="18" t="s">
        <v>483</v>
      </c>
      <c r="D92" s="19">
        <v>3021062</v>
      </c>
      <c r="E92" s="19">
        <v>2</v>
      </c>
      <c r="F92" s="19"/>
      <c r="G92" s="19">
        <v>760</v>
      </c>
      <c r="H92" s="19">
        <v>12.4</v>
      </c>
      <c r="I92" s="19"/>
      <c r="J92" s="19" t="s">
        <v>140</v>
      </c>
      <c r="K92" s="19" t="b">
        <v>1</v>
      </c>
      <c r="L92" s="15">
        <v>2013</v>
      </c>
      <c r="M92" s="16">
        <v>0</v>
      </c>
      <c r="N92" s="16">
        <v>0</v>
      </c>
      <c r="O92" s="16">
        <v>0</v>
      </c>
      <c r="P92" s="16">
        <v>0</v>
      </c>
      <c r="Q92" s="20">
        <v>41453</v>
      </c>
      <c r="R92" s="20">
        <v>41453</v>
      </c>
    </row>
    <row r="93" spans="1:18" ht="14.25">
      <c r="A93" s="17">
        <v>2013</v>
      </c>
      <c r="B93" s="18" t="s">
        <v>482</v>
      </c>
      <c r="C93" s="18" t="s">
        <v>483</v>
      </c>
      <c r="D93" s="19">
        <v>3021062</v>
      </c>
      <c r="E93" s="19">
        <v>2</v>
      </c>
      <c r="F93" s="19"/>
      <c r="G93" s="19">
        <v>190</v>
      </c>
      <c r="H93" s="19">
        <v>2.2</v>
      </c>
      <c r="I93" s="19"/>
      <c r="J93" s="19" t="s">
        <v>72</v>
      </c>
      <c r="K93" s="19" t="b">
        <v>0</v>
      </c>
      <c r="L93" s="15">
        <v>2013</v>
      </c>
      <c r="M93" s="16">
        <v>7582827.67</v>
      </c>
      <c r="N93" s="16">
        <v>6609391.25</v>
      </c>
      <c r="O93" s="16">
        <v>4770323</v>
      </c>
      <c r="P93" s="16">
        <v>3702553.66</v>
      </c>
      <c r="Q93" s="20">
        <v>41453</v>
      </c>
      <c r="R93" s="20">
        <v>41453</v>
      </c>
    </row>
    <row r="94" spans="1:18" ht="14.25">
      <c r="A94" s="17">
        <v>2013</v>
      </c>
      <c r="B94" s="18" t="s">
        <v>482</v>
      </c>
      <c r="C94" s="18" t="s">
        <v>483</v>
      </c>
      <c r="D94" s="19">
        <v>3021062</v>
      </c>
      <c r="E94" s="19">
        <v>2</v>
      </c>
      <c r="F94" s="19"/>
      <c r="G94" s="19">
        <v>40</v>
      </c>
      <c r="H94" s="19" t="s">
        <v>46</v>
      </c>
      <c r="I94" s="19"/>
      <c r="J94" s="19" t="s">
        <v>47</v>
      </c>
      <c r="K94" s="19" t="b">
        <v>1</v>
      </c>
      <c r="L94" s="15">
        <v>2013</v>
      </c>
      <c r="M94" s="16">
        <v>0</v>
      </c>
      <c r="N94" s="16">
        <v>0</v>
      </c>
      <c r="O94" s="16">
        <v>0</v>
      </c>
      <c r="P94" s="16">
        <v>0</v>
      </c>
      <c r="Q94" s="20">
        <v>41453</v>
      </c>
      <c r="R94" s="20">
        <v>41453</v>
      </c>
    </row>
    <row r="95" spans="1:18" ht="14.25">
      <c r="A95" s="17">
        <v>2013</v>
      </c>
      <c r="B95" s="18" t="s">
        <v>482</v>
      </c>
      <c r="C95" s="18" t="s">
        <v>483</v>
      </c>
      <c r="D95" s="19">
        <v>3021062</v>
      </c>
      <c r="E95" s="19">
        <v>2</v>
      </c>
      <c r="F95" s="19"/>
      <c r="G95" s="19">
        <v>510</v>
      </c>
      <c r="H95" s="19">
        <v>9.7</v>
      </c>
      <c r="I95" s="19"/>
      <c r="J95" s="19" t="s">
        <v>499</v>
      </c>
      <c r="K95" s="19" t="b">
        <v>1</v>
      </c>
      <c r="L95" s="15">
        <v>2013</v>
      </c>
      <c r="M95" s="16">
        <v>0</v>
      </c>
      <c r="N95" s="16">
        <v>0</v>
      </c>
      <c r="O95" s="16">
        <v>0</v>
      </c>
      <c r="P95" s="16">
        <v>0</v>
      </c>
      <c r="Q95" s="20">
        <v>41453</v>
      </c>
      <c r="R95" s="20">
        <v>41453</v>
      </c>
    </row>
    <row r="96" spans="1:18" ht="14.25">
      <c r="A96" s="17">
        <v>2013</v>
      </c>
      <c r="B96" s="18" t="s">
        <v>482</v>
      </c>
      <c r="C96" s="18" t="s">
        <v>483</v>
      </c>
      <c r="D96" s="19">
        <v>3021062</v>
      </c>
      <c r="E96" s="19">
        <v>2</v>
      </c>
      <c r="F96" s="19"/>
      <c r="G96" s="19">
        <v>505</v>
      </c>
      <c r="H96" s="19" t="s">
        <v>103</v>
      </c>
      <c r="I96" s="19" t="s">
        <v>497</v>
      </c>
      <c r="J96" s="19" t="s">
        <v>104</v>
      </c>
      <c r="K96" s="19" t="b">
        <v>0</v>
      </c>
      <c r="L96" s="15">
        <v>2013</v>
      </c>
      <c r="M96" s="16">
        <v>0.1184</v>
      </c>
      <c r="N96" s="16">
        <v>0.1738</v>
      </c>
      <c r="O96" s="16">
        <v>0.1103</v>
      </c>
      <c r="P96" s="16">
        <v>0.1275</v>
      </c>
      <c r="Q96" s="20">
        <v>41453</v>
      </c>
      <c r="R96" s="20">
        <v>41453</v>
      </c>
    </row>
    <row r="97" spans="1:18" ht="14.25">
      <c r="A97" s="17">
        <v>2013</v>
      </c>
      <c r="B97" s="18" t="s">
        <v>482</v>
      </c>
      <c r="C97" s="18" t="s">
        <v>483</v>
      </c>
      <c r="D97" s="19">
        <v>3021062</v>
      </c>
      <c r="E97" s="19">
        <v>2</v>
      </c>
      <c r="F97" s="19"/>
      <c r="G97" s="19">
        <v>140</v>
      </c>
      <c r="H97" s="19" t="s">
        <v>62</v>
      </c>
      <c r="I97" s="19"/>
      <c r="J97" s="19" t="s">
        <v>63</v>
      </c>
      <c r="K97" s="19" t="b">
        <v>1</v>
      </c>
      <c r="L97" s="15">
        <v>2013</v>
      </c>
      <c r="M97" s="16">
        <v>0</v>
      </c>
      <c r="N97" s="16">
        <v>0</v>
      </c>
      <c r="O97" s="16">
        <v>0</v>
      </c>
      <c r="P97" s="16">
        <v>0</v>
      </c>
      <c r="Q97" s="20">
        <v>41453</v>
      </c>
      <c r="R97" s="20">
        <v>41453</v>
      </c>
    </row>
    <row r="98" spans="1:18" ht="14.25">
      <c r="A98" s="17">
        <v>2013</v>
      </c>
      <c r="B98" s="18" t="s">
        <v>482</v>
      </c>
      <c r="C98" s="18" t="s">
        <v>483</v>
      </c>
      <c r="D98" s="19">
        <v>3021062</v>
      </c>
      <c r="E98" s="19">
        <v>2</v>
      </c>
      <c r="F98" s="19"/>
      <c r="G98" s="19">
        <v>740</v>
      </c>
      <c r="H98" s="19" t="s">
        <v>136</v>
      </c>
      <c r="I98" s="19"/>
      <c r="J98" s="19" t="s">
        <v>137</v>
      </c>
      <c r="K98" s="19" t="b">
        <v>0</v>
      </c>
      <c r="L98" s="15">
        <v>2013</v>
      </c>
      <c r="M98" s="16">
        <v>0</v>
      </c>
      <c r="N98" s="16">
        <v>0</v>
      </c>
      <c r="O98" s="16">
        <v>0</v>
      </c>
      <c r="P98" s="16">
        <v>0</v>
      </c>
      <c r="Q98" s="20">
        <v>41453</v>
      </c>
      <c r="R98" s="20">
        <v>41453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sznajde</cp:lastModifiedBy>
  <cp:lastPrinted>2013-07-02T11:43:51Z</cp:lastPrinted>
  <dcterms:created xsi:type="dcterms:W3CDTF">2010-09-17T02:30:46Z</dcterms:created>
  <dcterms:modified xsi:type="dcterms:W3CDTF">2013-07-16T06:40:29Z</dcterms:modified>
  <cp:category/>
  <cp:version/>
  <cp:contentType/>
  <cp:contentStatus/>
</cp:coreProperties>
</file>