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1" sheetId="1" r:id="rId1"/>
    <sheet name="3 przeds" sheetId="2" r:id="rId2"/>
  </sheets>
  <definedNames/>
  <calcPr fullCalcOnLoad="1"/>
</workbook>
</file>

<file path=xl/sharedStrings.xml><?xml version="1.0" encoding="utf-8"?>
<sst xmlns="http://schemas.openxmlformats.org/spreadsheetml/2006/main" count="170" uniqueCount="128">
  <si>
    <t>Załącznik nr 3</t>
  </si>
  <si>
    <t>Rady Gminy Kleszczewo</t>
  </si>
  <si>
    <t>Wykaz przedsięwzięc do WPF na lata 2013 do 2017</t>
  </si>
  <si>
    <t>Lp</t>
  </si>
  <si>
    <t>Nazwa i cel</t>
  </si>
  <si>
    <t>Jednostka odpowie dzialna lub koordynująca</t>
  </si>
  <si>
    <t>okres realizacji (w wierszu program/ umowa)</t>
  </si>
  <si>
    <t>Łączny limit wydatków</t>
  </si>
  <si>
    <t>lata</t>
  </si>
  <si>
    <t>Limit zobowiązań</t>
  </si>
  <si>
    <t>od</t>
  </si>
  <si>
    <t>do</t>
  </si>
  <si>
    <t>I</t>
  </si>
  <si>
    <t>Przedsięwzięcia ogółem</t>
  </si>
  <si>
    <t>- wydatki bieżące</t>
  </si>
  <si>
    <t>- wydatki majątkowe</t>
  </si>
  <si>
    <t>Programy, projekty lub zadania  ( razem)</t>
  </si>
  <si>
    <t>a</t>
  </si>
  <si>
    <t>Programy, projekty lub zadania związane z programami realizowanymi z udziałem środków, o których mowa w art. 5 ust. 1 pkt 2 i 3 (razem)</t>
  </si>
  <si>
    <t>Urząd Gminy</t>
  </si>
  <si>
    <t>b.</t>
  </si>
  <si>
    <t>programy, projekty lub zadania związane z umowami patrtnerstwa publicznoprawnego</t>
  </si>
  <si>
    <t>c.</t>
  </si>
  <si>
    <t>programy, projekty lub zadania pozostałe (inne niż wymienione w lit. a i b (razem)</t>
  </si>
  <si>
    <t>Sporządzenie zmian studium uwarunkowań i kierunków zagospodarowania przestrzennego gminy Kleszczewo w miejscowościach Komorniki, Gowarzewo, Krzyżowaniki, Tulce, Markowice, Śródka, Krerowo, Kleszczewo, Zimin, Bylin - wydatki  (Dz. 700, rozdział 71004  wydatki bieżące)</t>
  </si>
  <si>
    <t>Jednostka odpowiedzial- na lub koordynująca</t>
  </si>
  <si>
    <t xml:space="preserve">Sporządzenie zmian studium uwarunkowań i kierunków zagospodarowania przestrzennego Gminy Kleszczewo w obrębie geodezyjnym wsi Komorniki, Gowarzewo, Tulce </t>
  </si>
  <si>
    <t>15 750,00</t>
  </si>
  <si>
    <t>5 900,00</t>
  </si>
  <si>
    <t xml:space="preserve"> 9 850,00</t>
  </si>
  <si>
    <t xml:space="preserve">Sporządzenie zmian studium uwarunkowań i kierunków zagospodarowania przestrzennego Gminy Kleszczewo w obrębie geodezyjnym wsi Kleszczewo  Gowarzewo, Tulce </t>
  </si>
  <si>
    <t>12 000,00</t>
  </si>
  <si>
    <t>Ubezpieczenie mienia wszystkich jednostek bużetowych, samorządowego zakładu budżetowego i instytucji kultury</t>
  </si>
  <si>
    <t>Dowóz uczniów niepełnosprawnych z Gminy Kleszczewo do szkół specjalnych w roku szkolnym 2012/2013 wraz z opieką</t>
  </si>
  <si>
    <t xml:space="preserve">120 000,00  </t>
  </si>
  <si>
    <t>40 000,00</t>
  </si>
  <si>
    <t>80 000,00</t>
  </si>
  <si>
    <t>0,00</t>
  </si>
  <si>
    <t>Umowy, których realizacja w roku budżetowym i w latach następnych jest niezbędna dla zapewnienia ciągłości działania jednostki i których płatności przypadają w okresie dłuższym niż rok</t>
  </si>
  <si>
    <t>świadczenie usług  zimowego utrzymania dróg i ulic na terenie Gminy Kleszczewo</t>
  </si>
  <si>
    <t>30 000,00       +22 000,00   =52 000 00</t>
  </si>
  <si>
    <t>Konserwacja i naprawy urządzeń świetlnych</t>
  </si>
  <si>
    <t>Program "LEX" zmiana obowiązującego prawa</t>
  </si>
  <si>
    <t>Naprawa dróg gminnych (zakup gruzu, naprawa, profilowanie)</t>
  </si>
  <si>
    <t>+150 000,00</t>
  </si>
  <si>
    <t>260 000,00</t>
  </si>
  <si>
    <t>Przewodniczący Rady Gminy</t>
  </si>
  <si>
    <t xml:space="preserve">         Henryk Lesiński</t>
  </si>
  <si>
    <t xml:space="preserve">          Henryk Lesiński</t>
  </si>
  <si>
    <t>do Uchwały Nr XXV/181/2012</t>
  </si>
  <si>
    <t>z dnia 19 grudnia 2012r.</t>
  </si>
  <si>
    <t>Budowa sieci kanalizacji sanitarnej w Tulcach Gmina Kleszczewo</t>
  </si>
  <si>
    <t>Załącznik Nr 1</t>
  </si>
  <si>
    <t>Lp.</t>
  </si>
  <si>
    <t>Wyszczególnienie</t>
  </si>
  <si>
    <t>2013</t>
  </si>
  <si>
    <t>Dochody ogółem, z tego:</t>
  </si>
  <si>
    <t xml:space="preserve">dochody bieżące, w tym: </t>
  </si>
  <si>
    <t>środki na programy, projekty lub zadania finansowane z udziałem środków, o których mowa w art. 5 ust. 1 pkt 2 ustawy, w tym:</t>
  </si>
  <si>
    <t>środki określone w art. 5 ust. 1 pkt 2 ustawy</t>
  </si>
  <si>
    <t xml:space="preserve"> dochody majątkowe, w tym:</t>
  </si>
  <si>
    <t>ze sprzedaży majątku</t>
  </si>
  <si>
    <t>środki na programy, projekty lub zadania finansowane z udziałem środków, o których mowa w art. 5 ust. 1 pkt 2, w tym:</t>
  </si>
  <si>
    <t xml:space="preserve">środki określone w art. 5 ust. 1 pkt 2 ustawy 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</si>
  <si>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</si>
  <si>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</si>
  <si>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</si>
  <si>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z tytułu gwarancji i poręczeń, w tym:</t>
  </si>
  <si>
    <t>gwarancje i poręczenia podlegające wyłączeniu z limitów spłaty zobowiązań z art. 243 ufp/169sufp</t>
  </si>
  <si>
    <t>na pokrycie ujemnego wyniku finansowego samodzielnego publicznego zakładu opieki zdrowotnej</t>
  </si>
  <si>
    <t>wydatki bieżące objęte limitem art. 226 ust. 4 ufp</t>
  </si>
  <si>
    <t>na projekty realizowane przy udziale środków, o których mowa w art. 5 ust. 1 pkt 2, w tym:</t>
  </si>
  <si>
    <t>finansowane środkami określonymi w art. 5 ust. 1 pkt 2 ustawy</t>
  </si>
  <si>
    <t>Różnica (1-2)</t>
  </si>
  <si>
    <t>Nadwyżka budżetowa z lat ubiegłych angażowana w budżecie roku bieżącego</t>
  </si>
  <si>
    <t xml:space="preserve"> w tym: na pokrycie deficytu budżetu</t>
  </si>
  <si>
    <t>Wolne środki, o których mowa w art. 217 ust. 2 pkt 6 ufp, angażowane w budżecie roku bieżącego</t>
  </si>
  <si>
    <t>Inne przychody nie związane z zaciągnięciem długu</t>
  </si>
  <si>
    <t>Środki do dyspozycji (3+4+5)</t>
  </si>
  <si>
    <t>Spłata i obsługa długu, z tego:</t>
  </si>
  <si>
    <t xml:space="preserve"> rozchody z tytułu spłaty rat kapitałowych oraz wykupu papierów wartościowych, w tym:</t>
  </si>
  <si>
    <t xml:space="preserve">  kwota wyłączeń z art. 243 ust. 3 pkt 1 ufp oraz art. 169 ust. 3 sufp przypadająca na dany rok budżetowy</t>
  </si>
  <si>
    <t xml:space="preserve"> wydatki bieżące na obsługę długu, w tym:</t>
  </si>
  <si>
    <t xml:space="preserve">  odsetki i dyskonto</t>
  </si>
  <si>
    <t>Inne rozchody (bez spłaty długu np. udzielane pożyczki)</t>
  </si>
  <si>
    <t>Środki do dyspozycji (6-7-8)</t>
  </si>
  <si>
    <t>Wydatki majątkowe, w tym:</t>
  </si>
  <si>
    <t xml:space="preserve"> wydatki majątkowe objęte limitem art. 226 ust. 4 ufp</t>
  </si>
  <si>
    <t xml:space="preserve"> na projekty realizowane przy udziale środków, o których mowa w art. 5 ust. 1 pkt 2, w tym:</t>
  </si>
  <si>
    <t xml:space="preserve">  finansowane środkami określonymi w art. 5 ust. 1 pkt 2 ustawy</t>
  </si>
  <si>
    <t>Kredyty, pożyczki, sprzedaż papierów wartościowych</t>
  </si>
  <si>
    <t>Rozliczenie budżetu (9-10+11)</t>
  </si>
  <si>
    <t>Kwota długu, w tym:</t>
  </si>
  <si>
    <t xml:space="preserve"> dług spłacany wydatkami (zobowiązania wymagalne, umowy zaliczane do kategorii kredytów i pożyczek, itp.)</t>
  </si>
  <si>
    <t>Łączna kwota wyłączeń z art. 170 ust. 3 sufp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</si>
  <si>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</si>
  <si>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</si>
  <si>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Sposób sfinansowania kwoty długu dot poz. 6.1 (7a) z tego                                                                                     (18a do 18f minus 18g):</t>
  </si>
  <si>
    <t>nadwyżka z lat ubiegłych</t>
  </si>
  <si>
    <t>Wolne środki</t>
  </si>
  <si>
    <t>przychody z tytułu kredytów, pożyczek obligacji</t>
  </si>
  <si>
    <t>przychody ze sprzedaży udzielonych pożyczek</t>
  </si>
  <si>
    <t>nadwyżka bieżąca</t>
  </si>
  <si>
    <t>Zadłużenie/dochody ogółem - max 60% z art. 170 sufp (bez wyłączeń)</t>
  </si>
  <si>
    <t>Zadłużenie/dochody ogółem - max 60% z art. 170 sufp (po uwzględnieniu wyłączeń)</t>
  </si>
  <si>
    <t>Planowana łączna kwota spłaty zobowiązań/dochody ogółem - max 15% z art. 169 sufp (bez wyłączeń)</t>
  </si>
  <si>
    <t>Planowana łączna kwota spłaty zobowiązań/dochody ogółem - max 15% z art. 169 sufp (po uwzględnieniu wyłączeń)</t>
  </si>
  <si>
    <t>Relacja (Db-Wb+Dsm)/Do, o której mowa w art. 243 w danym roku</t>
  </si>
  <si>
    <t>Maksymalny dopuszczalny wskaźnik spłaty z art. 243 ufp</t>
  </si>
  <si>
    <t>Maksymalny dopuszczalny wskaźnik spłaty z art. 243 ufp (z wykonaniem za rok N-1)</t>
  </si>
  <si>
    <t>Relacja planowanej łącznej kwoty spłaty zobowiązań do dochodów  (ze związkiem oraz bez wyłączeń)</t>
  </si>
  <si>
    <t>Spełnienie wskaźnika spłaty z art. 243 ufp po uwzględnieniu art. 244 ufp (bez wyłączeń) (planistycznego)</t>
  </si>
  <si>
    <t>Spełnienie wskaźnika spłaty z art. 243 ufp po uwzględnieniu art. 244 ufp (bez wyłączeń) (z wykonaniem za rok N-1)</t>
  </si>
  <si>
    <t>Relacja planowanej łącznej kwoty spłaty zobowiązań do dochodów (po uwzględnieniu wyłączeń UE)</t>
  </si>
  <si>
    <t>Spełnienie wskaźnika spłaty z art. 243 ufp po uwzględnieniu art. 244 ufp (po uwzględnieniu wyłączeń UE) (planistycznego)</t>
  </si>
  <si>
    <t>Spełnienie wskaźnika spłaty z art. 243 ufp po uwzględnieniu art. 244 ufp (po uwzględnieniu wyłączeń UE) (z wykonaniem za rok N-1)</t>
  </si>
  <si>
    <t>Dochody bieżące</t>
  </si>
  <si>
    <t>Wydatki bieżące razem</t>
  </si>
  <si>
    <t>Dochody bieżące - wydatki bieżące</t>
  </si>
  <si>
    <t>Dochody ogółem</t>
  </si>
  <si>
    <t>Wydatki ogółem</t>
  </si>
  <si>
    <t>Wynik budżetu</t>
  </si>
  <si>
    <t>Przychody budżetu</t>
  </si>
  <si>
    <t>Rozchody budżetu</t>
  </si>
  <si>
    <t>* środki, o których mowa w art. 5 ust. 1 pkt 2 ustawy o finansach publicznych z 2009 r.</t>
  </si>
  <si>
    <t xml:space="preserve">            Henryk Lesiński</t>
  </si>
  <si>
    <t>z dnia 19  grudnia 2012r</t>
  </si>
  <si>
    <t>Wieloletnia prodnoza finansowa  na lata 2013 do 2024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</si>
</sst>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0.0%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Arial"/>
      <family val="2"/>
    </font>
    <font>
      <sz val="10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i/>
      <sz val="9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wrapText="1"/>
    </xf>
    <xf numFmtId="4" fontId="2" fillId="33" borderId="10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horizontal="right" vertical="center" wrapText="1"/>
    </xf>
    <xf numFmtId="49" fontId="2" fillId="34" borderId="10" xfId="0" applyNumberFormat="1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/>
    </xf>
    <xf numFmtId="49" fontId="2" fillId="34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4" fontId="2" fillId="0" borderId="10" xfId="0" applyNumberFormat="1" applyFont="1" applyBorder="1" applyAlignment="1">
      <alignment vertical="center"/>
    </xf>
    <xf numFmtId="0" fontId="2" fillId="35" borderId="10" xfId="0" applyFont="1" applyFill="1" applyBorder="1" applyAlignment="1">
      <alignment vertical="center" wrapText="1"/>
    </xf>
    <xf numFmtId="4" fontId="6" fillId="35" borderId="10" xfId="0" applyNumberFormat="1" applyFont="1" applyFill="1" applyBorder="1" applyAlignment="1">
      <alignment vertical="center"/>
    </xf>
    <xf numFmtId="4" fontId="2" fillId="35" borderId="10" xfId="0" applyNumberFormat="1" applyFont="1" applyFill="1" applyBorder="1" applyAlignment="1">
      <alignment vertical="center"/>
    </xf>
    <xf numFmtId="49" fontId="6" fillId="35" borderId="10" xfId="0" applyNumberFormat="1" applyFont="1" applyFill="1" applyBorder="1" applyAlignment="1">
      <alignment horizontal="right" vertical="center"/>
    </xf>
    <xf numFmtId="49" fontId="2" fillId="35" borderId="10" xfId="0" applyNumberFormat="1" applyFont="1" applyFill="1" applyBorder="1" applyAlignment="1">
      <alignment horizontal="right" vertical="center"/>
    </xf>
    <xf numFmtId="49" fontId="2" fillId="34" borderId="10" xfId="0" applyNumberFormat="1" applyFont="1" applyFill="1" applyBorder="1" applyAlignment="1">
      <alignment horizontal="right" wrapText="1"/>
    </xf>
    <xf numFmtId="0" fontId="2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/>
    </xf>
    <xf numFmtId="4" fontId="6" fillId="35" borderId="10" xfId="0" applyNumberFormat="1" applyFont="1" applyFill="1" applyBorder="1" applyAlignment="1">
      <alignment horizontal="right" vertical="center" wrapText="1"/>
    </xf>
    <xf numFmtId="4" fontId="2" fillId="35" borderId="10" xfId="0" applyNumberFormat="1" applyFont="1" applyFill="1" applyBorder="1" applyAlignment="1">
      <alignment horizontal="right" vertical="center" wrapText="1"/>
    </xf>
    <xf numFmtId="0" fontId="6" fillId="35" borderId="10" xfId="0" applyFont="1" applyFill="1" applyBorder="1" applyAlignment="1">
      <alignment wrapText="1"/>
    </xf>
    <xf numFmtId="4" fontId="6" fillId="35" borderId="10" xfId="0" applyNumberFormat="1" applyFont="1" applyFill="1" applyBorder="1" applyAlignment="1">
      <alignment horizontal="right" vertical="center"/>
    </xf>
    <xf numFmtId="0" fontId="6" fillId="36" borderId="10" xfId="0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/>
    </xf>
    <xf numFmtId="4" fontId="6" fillId="34" borderId="10" xfId="0" applyNumberFormat="1" applyFont="1" applyFill="1" applyBorder="1" applyAlignment="1">
      <alignment vertical="center"/>
    </xf>
    <xf numFmtId="0" fontId="7" fillId="36" borderId="0" xfId="0" applyFont="1" applyFill="1" applyAlignment="1">
      <alignment/>
    </xf>
    <xf numFmtId="0" fontId="8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49" fontId="6" fillId="34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5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4" fontId="2" fillId="34" borderId="10" xfId="0" applyNumberFormat="1" applyFont="1" applyFill="1" applyBorder="1" applyAlignment="1">
      <alignment horizontal="right" vertical="center"/>
    </xf>
    <xf numFmtId="4" fontId="2" fillId="35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9" fillId="0" borderId="11" xfId="0" applyFont="1" applyFill="1" applyBorder="1" applyAlignment="1">
      <alignment vertical="center"/>
    </xf>
    <xf numFmtId="49" fontId="9" fillId="0" borderId="12" xfId="51" applyNumberFormat="1" applyFont="1" applyFill="1" applyBorder="1" applyAlignment="1">
      <alignment horizontal="center" vertical="center"/>
      <protection/>
    </xf>
    <xf numFmtId="49" fontId="9" fillId="0" borderId="12" xfId="51" applyNumberFormat="1" applyFont="1" applyFill="1" applyBorder="1" applyAlignment="1">
      <alignment horizontal="center" vertical="center" wrapText="1"/>
      <protection/>
    </xf>
    <xf numFmtId="49" fontId="9" fillId="0" borderId="12" xfId="51" applyNumberFormat="1" applyFont="1" applyFill="1" applyBorder="1" applyAlignment="1">
      <alignment horizontal="center"/>
      <protection/>
    </xf>
    <xf numFmtId="0" fontId="9" fillId="0" borderId="13" xfId="51" applyFont="1" applyFill="1" applyBorder="1" applyAlignment="1">
      <alignment horizontal="center" vertical="center"/>
      <protection/>
    </xf>
    <xf numFmtId="0" fontId="9" fillId="0" borderId="13" xfId="51" applyFont="1" applyFill="1" applyBorder="1" applyAlignment="1">
      <alignment vertical="center" wrapText="1"/>
      <protection/>
    </xf>
    <xf numFmtId="164" fontId="12" fillId="0" borderId="13" xfId="51" applyNumberFormat="1" applyFont="1" applyFill="1" applyBorder="1" applyAlignment="1" applyProtection="1">
      <alignment vertical="center"/>
      <protection locked="0"/>
    </xf>
    <xf numFmtId="0" fontId="12" fillId="0" borderId="14" xfId="51" applyFont="1" applyFill="1" applyBorder="1" applyAlignment="1">
      <alignment horizontal="center" vertical="center"/>
      <protection/>
    </xf>
    <xf numFmtId="0" fontId="12" fillId="0" borderId="14" xfId="51" applyFont="1" applyFill="1" applyBorder="1" applyAlignment="1">
      <alignment horizontal="left" vertical="center" wrapText="1" indent="1"/>
      <protection/>
    </xf>
    <xf numFmtId="164" fontId="12" fillId="0" borderId="14" xfId="51" applyNumberFormat="1" applyFont="1" applyFill="1" applyBorder="1" applyAlignment="1" applyProtection="1">
      <alignment vertical="center"/>
      <protection locked="0"/>
    </xf>
    <xf numFmtId="0" fontId="12" fillId="0" borderId="14" xfId="51" applyFont="1" applyFill="1" applyBorder="1" applyAlignment="1">
      <alignment horizontal="left" vertical="center" wrapText="1" indent="2"/>
      <protection/>
    </xf>
    <xf numFmtId="0" fontId="12" fillId="0" borderId="14" xfId="51" applyFont="1" applyFill="1" applyBorder="1" applyAlignment="1">
      <alignment horizontal="left" vertical="center" wrapText="1" indent="3"/>
      <protection/>
    </xf>
    <xf numFmtId="0" fontId="12" fillId="0" borderId="14" xfId="51" applyFont="1" applyFill="1" applyBorder="1" applyAlignment="1" quotePrefix="1">
      <alignment horizontal="left" vertical="center" wrapText="1" indent="1"/>
      <protection/>
    </xf>
    <xf numFmtId="0" fontId="12" fillId="0" borderId="15" xfId="51" applyFont="1" applyFill="1" applyBorder="1" applyAlignment="1">
      <alignment horizontal="center" vertical="center"/>
      <protection/>
    </xf>
    <xf numFmtId="0" fontId="12" fillId="0" borderId="15" xfId="51" applyFont="1" applyFill="1" applyBorder="1" applyAlignment="1">
      <alignment horizontal="left" vertical="center" wrapText="1" indent="3"/>
      <protection/>
    </xf>
    <xf numFmtId="164" fontId="12" fillId="0" borderId="15" xfId="51" applyNumberFormat="1" applyFont="1" applyFill="1" applyBorder="1" applyAlignment="1" applyProtection="1">
      <alignment vertical="center"/>
      <protection locked="0"/>
    </xf>
    <xf numFmtId="0" fontId="13" fillId="0" borderId="14" xfId="51" applyFont="1" applyFill="1" applyBorder="1" applyAlignment="1">
      <alignment horizontal="left" vertical="center" wrapText="1" indent="2"/>
      <protection/>
    </xf>
    <xf numFmtId="0" fontId="13" fillId="0" borderId="14" xfId="51" applyFont="1" applyFill="1" applyBorder="1" applyAlignment="1">
      <alignment horizontal="left" vertical="center" wrapText="1" indent="1"/>
      <protection/>
    </xf>
    <xf numFmtId="0" fontId="12" fillId="0" borderId="15" xfId="51" applyFont="1" applyFill="1" applyBorder="1" applyAlignment="1">
      <alignment horizontal="left" vertical="center" wrapText="1" indent="2"/>
      <protection/>
    </xf>
    <xf numFmtId="0" fontId="9" fillId="0" borderId="12" xfId="51" applyFont="1" applyFill="1" applyBorder="1" applyAlignment="1">
      <alignment horizontal="center" vertical="center"/>
      <protection/>
    </xf>
    <xf numFmtId="0" fontId="9" fillId="0" borderId="12" xfId="51" applyFont="1" applyFill="1" applyBorder="1" applyAlignment="1">
      <alignment vertical="center" wrapText="1"/>
      <protection/>
    </xf>
    <xf numFmtId="0" fontId="12" fillId="0" borderId="15" xfId="51" applyFont="1" applyFill="1" applyBorder="1" applyAlignment="1">
      <alignment horizontal="left" vertical="center" wrapText="1" indent="1"/>
      <protection/>
    </xf>
    <xf numFmtId="0" fontId="12" fillId="0" borderId="13" xfId="51" applyFont="1" applyFill="1" applyBorder="1" applyAlignment="1">
      <alignment horizontal="center" vertical="center"/>
      <protection/>
    </xf>
    <xf numFmtId="0" fontId="9" fillId="0" borderId="13" xfId="51" applyFont="1" applyFill="1" applyBorder="1" applyAlignment="1">
      <alignment horizontal="left" vertical="center" wrapText="1"/>
      <protection/>
    </xf>
    <xf numFmtId="0" fontId="14" fillId="0" borderId="12" xfId="51" applyFont="1" applyFill="1" applyBorder="1" applyAlignment="1">
      <alignment vertical="center" wrapText="1"/>
      <protection/>
    </xf>
    <xf numFmtId="0" fontId="14" fillId="0" borderId="12" xfId="51" applyFont="1" applyFill="1" applyBorder="1" applyAlignment="1">
      <alignment horizontal="center" vertical="center"/>
      <protection/>
    </xf>
    <xf numFmtId="0" fontId="13" fillId="0" borderId="15" xfId="51" applyFont="1" applyFill="1" applyBorder="1" applyAlignment="1">
      <alignment horizontal="center" vertical="center"/>
      <protection/>
    </xf>
    <xf numFmtId="0" fontId="13" fillId="0" borderId="15" xfId="51" applyFont="1" applyFill="1" applyBorder="1" applyAlignment="1">
      <alignment horizontal="left" vertical="center" wrapText="1" indent="1"/>
      <protection/>
    </xf>
    <xf numFmtId="0" fontId="13" fillId="0" borderId="16" xfId="51" applyFont="1" applyFill="1" applyBorder="1" applyAlignment="1">
      <alignment horizontal="center" vertical="center"/>
      <protection/>
    </xf>
    <xf numFmtId="0" fontId="14" fillId="0" borderId="16" xfId="51" applyFont="1" applyFill="1" applyBorder="1" applyAlignment="1">
      <alignment horizontal="left" vertical="center" wrapText="1" indent="1"/>
      <protection/>
    </xf>
    <xf numFmtId="164" fontId="9" fillId="0" borderId="12" xfId="51" applyNumberFormat="1" applyFont="1" applyFill="1" applyBorder="1" applyAlignment="1" applyProtection="1">
      <alignment horizontal="center" vertical="center"/>
      <protection locked="0"/>
    </xf>
    <xf numFmtId="0" fontId="13" fillId="0" borderId="14" xfId="51" applyFont="1" applyFill="1" applyBorder="1" applyAlignment="1">
      <alignment horizontal="center" vertical="center"/>
      <protection/>
    </xf>
    <xf numFmtId="164" fontId="12" fillId="0" borderId="17" xfId="51" applyNumberFormat="1" applyFont="1" applyFill="1" applyBorder="1" applyAlignment="1" applyProtection="1">
      <alignment vertical="center"/>
      <protection locked="0"/>
    </xf>
    <xf numFmtId="0" fontId="13" fillId="0" borderId="14" xfId="51" applyFont="1" applyFill="1" applyBorder="1" applyAlignment="1" quotePrefix="1">
      <alignment horizontal="left" vertical="center" wrapText="1" indent="1"/>
      <protection/>
    </xf>
    <xf numFmtId="0" fontId="13" fillId="0" borderId="18" xfId="51" applyFont="1" applyFill="1" applyBorder="1" applyAlignment="1">
      <alignment horizontal="center" vertical="center"/>
      <protection/>
    </xf>
    <xf numFmtId="0" fontId="13" fillId="0" borderId="18" xfId="51" applyFont="1" applyFill="1" applyBorder="1" applyAlignment="1" quotePrefix="1">
      <alignment horizontal="left" vertical="center" wrapText="1" indent="1"/>
      <protection/>
    </xf>
    <xf numFmtId="164" fontId="12" fillId="0" borderId="18" xfId="51" applyNumberFormat="1" applyFont="1" applyFill="1" applyBorder="1" applyAlignment="1" applyProtection="1">
      <alignment vertical="center"/>
      <protection locked="0"/>
    </xf>
    <xf numFmtId="0" fontId="13" fillId="0" borderId="13" xfId="51" applyFont="1" applyFill="1" applyBorder="1" applyAlignment="1">
      <alignment horizontal="center" vertical="center"/>
      <protection/>
    </xf>
    <xf numFmtId="0" fontId="12" fillId="0" borderId="13" xfId="51" applyFont="1" applyFill="1" applyBorder="1" applyAlignment="1">
      <alignment vertical="center" wrapText="1"/>
      <protection/>
    </xf>
    <xf numFmtId="165" fontId="12" fillId="0" borderId="13" xfId="51" applyNumberFormat="1" applyFont="1" applyFill="1" applyBorder="1" applyAlignment="1" applyProtection="1">
      <alignment vertical="center"/>
      <protection locked="0"/>
    </xf>
    <xf numFmtId="0" fontId="12" fillId="0" borderId="14" xfId="51" applyFont="1" applyFill="1" applyBorder="1" applyAlignment="1">
      <alignment vertical="center" wrapText="1"/>
      <protection/>
    </xf>
    <xf numFmtId="165" fontId="12" fillId="0" borderId="14" xfId="51" applyNumberFormat="1" applyFont="1" applyFill="1" applyBorder="1" applyAlignment="1" applyProtection="1">
      <alignment vertical="center"/>
      <protection locked="0"/>
    </xf>
    <xf numFmtId="0" fontId="13" fillId="0" borderId="14" xfId="51" applyFont="1" applyFill="1" applyBorder="1" applyAlignment="1">
      <alignment vertical="center" wrapText="1"/>
      <protection/>
    </xf>
    <xf numFmtId="0" fontId="13" fillId="0" borderId="15" xfId="51" applyFont="1" applyFill="1" applyBorder="1" applyAlignment="1">
      <alignment horizontal="left" vertical="center" wrapText="1"/>
      <protection/>
    </xf>
    <xf numFmtId="165" fontId="12" fillId="0" borderId="15" xfId="51" applyNumberFormat="1" applyFont="1" applyFill="1" applyBorder="1" applyAlignment="1" applyProtection="1">
      <alignment vertical="center"/>
      <protection locked="0"/>
    </xf>
    <xf numFmtId="0" fontId="14" fillId="0" borderId="14" xfId="51" applyFont="1" applyFill="1" applyBorder="1" applyAlignment="1">
      <alignment horizontal="center" vertical="center"/>
      <protection/>
    </xf>
    <xf numFmtId="0" fontId="9" fillId="0" borderId="14" xfId="51" applyFont="1" applyFill="1" applyBorder="1" applyAlignment="1">
      <alignment vertical="center" wrapText="1"/>
      <protection/>
    </xf>
    <xf numFmtId="164" fontId="12" fillId="0" borderId="14" xfId="51" applyNumberFormat="1" applyFont="1" applyFill="1" applyBorder="1" applyAlignment="1" applyProtection="1">
      <alignment horizontal="center" vertical="center"/>
      <protection locked="0"/>
    </xf>
    <xf numFmtId="0" fontId="15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vertical="top" wrapText="1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vertical="top" wrapText="1"/>
    </xf>
    <xf numFmtId="0" fontId="16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vertical="top" wrapText="1"/>
    </xf>
    <xf numFmtId="164" fontId="12" fillId="0" borderId="15" xfId="51" applyNumberFormat="1" applyFont="1" applyFill="1" applyBorder="1" applyAlignment="1" applyProtection="1">
      <alignment horizontal="center" vertical="center"/>
      <protection locked="0"/>
    </xf>
    <xf numFmtId="0" fontId="16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wrapText="1"/>
    </xf>
    <xf numFmtId="0" fontId="12" fillId="0" borderId="0" xfId="52" applyFont="1" applyBorder="1" applyAlignment="1">
      <alignment vertical="center"/>
      <protection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16" fillId="0" borderId="13" xfId="0" applyFont="1" applyBorder="1" applyAlignment="1">
      <alignment vertical="top" wrapText="1"/>
    </xf>
    <xf numFmtId="0" fontId="18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4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vertical="center" wrapText="1"/>
    </xf>
    <xf numFmtId="0" fontId="1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6" xfId="51"/>
    <cellStyle name="Normalny 6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zoomScalePageLayoutView="0" workbookViewId="0" topLeftCell="A1">
      <selection activeCell="J1" sqref="J1:J4"/>
    </sheetView>
  </sheetViews>
  <sheetFormatPr defaultColWidth="9.140625" defaultRowHeight="15"/>
  <cols>
    <col min="1" max="1" width="2.8515625" style="123" customWidth="1"/>
    <col min="2" max="2" width="56.00390625" style="123" customWidth="1"/>
    <col min="3" max="3" width="11.57421875" style="123" customWidth="1"/>
    <col min="4" max="4" width="11.28125" style="123" customWidth="1"/>
    <col min="5" max="14" width="11.28125" style="123" bestFit="1" customWidth="1"/>
  </cols>
  <sheetData>
    <row r="1" spans="1:14" ht="15">
      <c r="A1" s="61"/>
      <c r="B1" s="61"/>
      <c r="C1" s="62"/>
      <c r="D1" s="62"/>
      <c r="E1" s="62"/>
      <c r="F1" s="62"/>
      <c r="G1" s="62"/>
      <c r="H1" s="62"/>
      <c r="I1" s="62"/>
      <c r="J1" s="127" t="s">
        <v>52</v>
      </c>
      <c r="K1" s="63"/>
      <c r="L1" s="62"/>
      <c r="M1" s="62"/>
      <c r="N1" s="62"/>
    </row>
    <row r="2" spans="1:14" ht="15">
      <c r="A2" s="61"/>
      <c r="B2" s="61"/>
      <c r="C2" s="62"/>
      <c r="D2" s="62"/>
      <c r="E2" s="62"/>
      <c r="F2" s="62"/>
      <c r="G2" s="62"/>
      <c r="H2" s="62"/>
      <c r="I2" s="62"/>
      <c r="J2" s="127" t="s">
        <v>49</v>
      </c>
      <c r="K2" s="63"/>
      <c r="L2" s="62"/>
      <c r="M2" s="62"/>
      <c r="N2" s="62"/>
    </row>
    <row r="3" spans="1:14" ht="15">
      <c r="A3" s="61"/>
      <c r="B3" s="61"/>
      <c r="C3" s="62"/>
      <c r="D3" s="62"/>
      <c r="E3" s="62"/>
      <c r="F3" s="62"/>
      <c r="G3" s="62"/>
      <c r="H3" s="62"/>
      <c r="I3" s="62"/>
      <c r="J3" s="127" t="s">
        <v>1</v>
      </c>
      <c r="K3" s="63"/>
      <c r="L3" s="62"/>
      <c r="M3" s="62"/>
      <c r="N3" s="62"/>
    </row>
    <row r="4" spans="1:14" ht="15">
      <c r="A4" s="61"/>
      <c r="B4" s="61"/>
      <c r="C4" s="62"/>
      <c r="D4" s="62"/>
      <c r="E4" s="62"/>
      <c r="F4" s="62"/>
      <c r="G4" s="62"/>
      <c r="H4" s="62"/>
      <c r="I4" s="62"/>
      <c r="J4" s="127" t="s">
        <v>126</v>
      </c>
      <c r="K4" s="63"/>
      <c r="L4" s="62"/>
      <c r="M4" s="62"/>
      <c r="N4" s="62"/>
    </row>
    <row r="5" spans="1:14" ht="9" customHeight="1">
      <c r="A5" s="61"/>
      <c r="B5" s="61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ht="15">
      <c r="A6" s="61"/>
      <c r="B6" s="134" t="s">
        <v>127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62"/>
    </row>
    <row r="7" spans="1:14" ht="11.25" customHeight="1">
      <c r="A7" s="64"/>
      <c r="B7" s="64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5">
      <c r="A8" s="65" t="s">
        <v>53</v>
      </c>
      <c r="B8" s="66" t="s">
        <v>54</v>
      </c>
      <c r="C8" s="67" t="s">
        <v>55</v>
      </c>
      <c r="D8" s="67">
        <f>+C8+1</f>
        <v>2014</v>
      </c>
      <c r="E8" s="67">
        <f aca="true" t="shared" si="0" ref="E8:N8">+D8+1</f>
        <v>2015</v>
      </c>
      <c r="F8" s="67">
        <f t="shared" si="0"/>
        <v>2016</v>
      </c>
      <c r="G8" s="67">
        <f t="shared" si="0"/>
        <v>2017</v>
      </c>
      <c r="H8" s="67">
        <f t="shared" si="0"/>
        <v>2018</v>
      </c>
      <c r="I8" s="67">
        <f t="shared" si="0"/>
        <v>2019</v>
      </c>
      <c r="J8" s="67">
        <f t="shared" si="0"/>
        <v>2020</v>
      </c>
      <c r="K8" s="67">
        <f t="shared" si="0"/>
        <v>2021</v>
      </c>
      <c r="L8" s="67">
        <f t="shared" si="0"/>
        <v>2022</v>
      </c>
      <c r="M8" s="67">
        <f t="shared" si="0"/>
        <v>2023</v>
      </c>
      <c r="N8" s="67">
        <f t="shared" si="0"/>
        <v>2024</v>
      </c>
    </row>
    <row r="9" spans="1:14" ht="15">
      <c r="A9" s="68">
        <v>1</v>
      </c>
      <c r="B9" s="69" t="s">
        <v>56</v>
      </c>
      <c r="C9" s="70">
        <f>20785883</f>
        <v>20785883</v>
      </c>
      <c r="D9" s="70">
        <f>21250000</f>
        <v>21250000</v>
      </c>
      <c r="E9" s="70">
        <f>20852000</f>
        <v>20852000</v>
      </c>
      <c r="F9" s="70">
        <f>20700000</f>
        <v>20700000</v>
      </c>
      <c r="G9" s="70">
        <f>21300000</f>
        <v>21300000</v>
      </c>
      <c r="H9" s="70">
        <f>21900000</f>
        <v>21900000</v>
      </c>
      <c r="I9" s="70">
        <f>22500000</f>
        <v>22500000</v>
      </c>
      <c r="J9" s="70">
        <f>23000000</f>
        <v>23000000</v>
      </c>
      <c r="K9" s="70">
        <f>23468000</f>
        <v>23468000</v>
      </c>
      <c r="L9" s="70">
        <f>23937000</f>
        <v>23937000</v>
      </c>
      <c r="M9" s="70">
        <f>24416000</f>
        <v>24416000</v>
      </c>
      <c r="N9" s="70">
        <f>24900000</f>
        <v>24900000</v>
      </c>
    </row>
    <row r="10" spans="1:14" ht="15">
      <c r="A10" s="71"/>
      <c r="B10" s="72" t="s">
        <v>57</v>
      </c>
      <c r="C10" s="73">
        <f>18582498</f>
        <v>18582498</v>
      </c>
      <c r="D10" s="73">
        <f>19300000</f>
        <v>19300000</v>
      </c>
      <c r="E10" s="73">
        <f>20100000</f>
        <v>20100000</v>
      </c>
      <c r="F10" s="73">
        <f>20700000</f>
        <v>20700000</v>
      </c>
      <c r="G10" s="73">
        <f>21300000</f>
        <v>21300000</v>
      </c>
      <c r="H10" s="73">
        <f>21900000</f>
        <v>21900000</v>
      </c>
      <c r="I10" s="73">
        <f>22500000</f>
        <v>22500000</v>
      </c>
      <c r="J10" s="73">
        <f>23000000</f>
        <v>23000000</v>
      </c>
      <c r="K10" s="73">
        <f>23468000</f>
        <v>23468000</v>
      </c>
      <c r="L10" s="73">
        <f>23937000</f>
        <v>23937000</v>
      </c>
      <c r="M10" s="73">
        <f>24416000</f>
        <v>24416000</v>
      </c>
      <c r="N10" s="73">
        <f>24900000</f>
        <v>24900000</v>
      </c>
    </row>
    <row r="11" spans="1:14" ht="24">
      <c r="A11" s="71"/>
      <c r="B11" s="74" t="s">
        <v>58</v>
      </c>
      <c r="C11" s="73">
        <f>127000</f>
        <v>127000</v>
      </c>
      <c r="D11" s="73">
        <f>0</f>
        <v>0</v>
      </c>
      <c r="E11" s="73">
        <f>0</f>
        <v>0</v>
      </c>
      <c r="F11" s="73">
        <f>0</f>
        <v>0</v>
      </c>
      <c r="G11" s="73">
        <f>0</f>
        <v>0</v>
      </c>
      <c r="H11" s="73">
        <f>0</f>
        <v>0</v>
      </c>
      <c r="I11" s="73">
        <f>0</f>
        <v>0</v>
      </c>
      <c r="J11" s="73">
        <f>0</f>
        <v>0</v>
      </c>
      <c r="K11" s="73">
        <f>0</f>
        <v>0</v>
      </c>
      <c r="L11" s="73">
        <f>0</f>
        <v>0</v>
      </c>
      <c r="M11" s="73">
        <f>0</f>
        <v>0</v>
      </c>
      <c r="N11" s="73">
        <f>0</f>
        <v>0</v>
      </c>
    </row>
    <row r="12" spans="1:14" ht="15">
      <c r="A12" s="71"/>
      <c r="B12" s="75" t="s">
        <v>59</v>
      </c>
      <c r="C12" s="73">
        <f>127000</f>
        <v>127000</v>
      </c>
      <c r="D12" s="73">
        <f>0</f>
        <v>0</v>
      </c>
      <c r="E12" s="73">
        <f>0</f>
        <v>0</v>
      </c>
      <c r="F12" s="73">
        <f>0</f>
        <v>0</v>
      </c>
      <c r="G12" s="73">
        <f>0</f>
        <v>0</v>
      </c>
      <c r="H12" s="73">
        <f>0</f>
        <v>0</v>
      </c>
      <c r="I12" s="73">
        <f>0</f>
        <v>0</v>
      </c>
      <c r="J12" s="73">
        <f>0</f>
        <v>0</v>
      </c>
      <c r="K12" s="73">
        <f>0</f>
        <v>0</v>
      </c>
      <c r="L12" s="73">
        <f>0</f>
        <v>0</v>
      </c>
      <c r="M12" s="73">
        <f>0</f>
        <v>0</v>
      </c>
      <c r="N12" s="73">
        <f>0</f>
        <v>0</v>
      </c>
    </row>
    <row r="13" spans="1:14" ht="15">
      <c r="A13" s="71"/>
      <c r="B13" s="76" t="s">
        <v>60</v>
      </c>
      <c r="C13" s="73">
        <f>2203385</f>
        <v>2203385</v>
      </c>
      <c r="D13" s="73">
        <f>1950000</f>
        <v>1950000</v>
      </c>
      <c r="E13" s="73">
        <f>752000</f>
        <v>752000</v>
      </c>
      <c r="F13" s="73">
        <f>0</f>
        <v>0</v>
      </c>
      <c r="G13" s="73">
        <f>0</f>
        <v>0</v>
      </c>
      <c r="H13" s="73">
        <f>0</f>
        <v>0</v>
      </c>
      <c r="I13" s="73">
        <f>0</f>
        <v>0</v>
      </c>
      <c r="J13" s="73">
        <f>0</f>
        <v>0</v>
      </c>
      <c r="K13" s="73">
        <f>0</f>
        <v>0</v>
      </c>
      <c r="L13" s="73">
        <f>0</f>
        <v>0</v>
      </c>
      <c r="M13" s="73">
        <f>0</f>
        <v>0</v>
      </c>
      <c r="N13" s="73">
        <f>0</f>
        <v>0</v>
      </c>
    </row>
    <row r="14" spans="1:14" ht="15">
      <c r="A14" s="71"/>
      <c r="B14" s="74" t="s">
        <v>61</v>
      </c>
      <c r="C14" s="73">
        <f>1443196</f>
        <v>1443196</v>
      </c>
      <c r="D14" s="73">
        <f>550000</f>
        <v>550000</v>
      </c>
      <c r="E14" s="73">
        <f>326000</f>
        <v>326000</v>
      </c>
      <c r="F14" s="73">
        <f>0</f>
        <v>0</v>
      </c>
      <c r="G14" s="73">
        <f>0</f>
        <v>0</v>
      </c>
      <c r="H14" s="73">
        <f>0</f>
        <v>0</v>
      </c>
      <c r="I14" s="73">
        <f>0</f>
        <v>0</v>
      </c>
      <c r="J14" s="73">
        <f>0</f>
        <v>0</v>
      </c>
      <c r="K14" s="73">
        <f>0</f>
        <v>0</v>
      </c>
      <c r="L14" s="73">
        <f>0</f>
        <v>0</v>
      </c>
      <c r="M14" s="73">
        <f>0</f>
        <v>0</v>
      </c>
      <c r="N14" s="73">
        <f>0</f>
        <v>0</v>
      </c>
    </row>
    <row r="15" spans="1:14" ht="24">
      <c r="A15" s="71"/>
      <c r="B15" s="74" t="s">
        <v>62</v>
      </c>
      <c r="C15" s="73">
        <f>745743</f>
        <v>745743</v>
      </c>
      <c r="D15" s="73">
        <f>0</f>
        <v>0</v>
      </c>
      <c r="E15" s="73">
        <f>0</f>
        <v>0</v>
      </c>
      <c r="F15" s="73">
        <f>0</f>
        <v>0</v>
      </c>
      <c r="G15" s="73">
        <f>0</f>
        <v>0</v>
      </c>
      <c r="H15" s="73">
        <f>0</f>
        <v>0</v>
      </c>
      <c r="I15" s="73">
        <f>0</f>
        <v>0</v>
      </c>
      <c r="J15" s="73">
        <f>0</f>
        <v>0</v>
      </c>
      <c r="K15" s="73">
        <f>0</f>
        <v>0</v>
      </c>
      <c r="L15" s="73">
        <f>0</f>
        <v>0</v>
      </c>
      <c r="M15" s="73">
        <f>0</f>
        <v>0</v>
      </c>
      <c r="N15" s="73">
        <f>0</f>
        <v>0</v>
      </c>
    </row>
    <row r="16" spans="1:14" ht="15">
      <c r="A16" s="77"/>
      <c r="B16" s="78" t="s">
        <v>63</v>
      </c>
      <c r="C16" s="79">
        <f>745743</f>
        <v>745743</v>
      </c>
      <c r="D16" s="79">
        <f>0</f>
        <v>0</v>
      </c>
      <c r="E16" s="79">
        <f>0</f>
        <v>0</v>
      </c>
      <c r="F16" s="79">
        <f>0</f>
        <v>0</v>
      </c>
      <c r="G16" s="79">
        <f>0</f>
        <v>0</v>
      </c>
      <c r="H16" s="79">
        <f>0</f>
        <v>0</v>
      </c>
      <c r="I16" s="79">
        <f>0</f>
        <v>0</v>
      </c>
      <c r="J16" s="79">
        <f>0</f>
        <v>0</v>
      </c>
      <c r="K16" s="79">
        <f>0</f>
        <v>0</v>
      </c>
      <c r="L16" s="79">
        <f>0</f>
        <v>0</v>
      </c>
      <c r="M16" s="79">
        <f>0</f>
        <v>0</v>
      </c>
      <c r="N16" s="79">
        <f>0</f>
        <v>0</v>
      </c>
    </row>
    <row r="17" spans="1:14" ht="24">
      <c r="A17" s="68">
        <v>2</v>
      </c>
      <c r="B17" s="69" t="s">
        <v>64</v>
      </c>
      <c r="C17" s="70">
        <f>17791178</f>
        <v>17791178</v>
      </c>
      <c r="D17" s="70">
        <f>18200000</f>
        <v>18200000</v>
      </c>
      <c r="E17" s="70">
        <f>18564975</f>
        <v>18564975</v>
      </c>
      <c r="F17" s="70">
        <f>18930000</f>
        <v>18930000</v>
      </c>
      <c r="G17" s="70">
        <f>19300000</f>
        <v>19300000</v>
      </c>
      <c r="H17" s="70">
        <f>19695000</f>
        <v>19695000</v>
      </c>
      <c r="I17" s="70">
        <f>20100000</f>
        <v>20100000</v>
      </c>
      <c r="J17" s="70">
        <f>20490000</f>
        <v>20490000</v>
      </c>
      <c r="K17" s="70">
        <f>20700000</f>
        <v>20700000</v>
      </c>
      <c r="L17" s="70">
        <f>20902000</f>
        <v>20902000</v>
      </c>
      <c r="M17" s="70">
        <f>21110000</f>
        <v>21110000</v>
      </c>
      <c r="N17" s="70">
        <f>21320000</f>
        <v>21320000</v>
      </c>
    </row>
    <row r="18" spans="1:14" ht="15">
      <c r="A18" s="71"/>
      <c r="B18" s="72" t="s">
        <v>65</v>
      </c>
      <c r="C18" s="73">
        <v>7708702</v>
      </c>
      <c r="D18" s="73">
        <v>7861000</v>
      </c>
      <c r="E18" s="73">
        <v>8019000</v>
      </c>
      <c r="F18" s="73">
        <v>8179000</v>
      </c>
      <c r="G18" s="73">
        <v>8340000</v>
      </c>
      <c r="H18" s="73">
        <v>8509000</v>
      </c>
      <c r="I18" s="73">
        <v>8680000</v>
      </c>
      <c r="J18" s="73">
        <v>8853000</v>
      </c>
      <c r="K18" s="73">
        <v>8942000</v>
      </c>
      <c r="L18" s="73">
        <v>9031000</v>
      </c>
      <c r="M18" s="73">
        <v>9121000</v>
      </c>
      <c r="N18" s="73">
        <v>9213000</v>
      </c>
    </row>
    <row r="19" spans="1:14" ht="15">
      <c r="A19" s="71"/>
      <c r="B19" s="72" t="s">
        <v>66</v>
      </c>
      <c r="C19" s="73">
        <v>1053750</v>
      </c>
      <c r="D19" s="73">
        <v>1070000</v>
      </c>
      <c r="E19" s="73">
        <v>1096000</v>
      </c>
      <c r="F19" s="73">
        <v>1118000</v>
      </c>
      <c r="G19" s="73">
        <v>1140</v>
      </c>
      <c r="H19" s="73">
        <v>1163000</v>
      </c>
      <c r="I19" s="73">
        <v>1186000</v>
      </c>
      <c r="J19" s="73">
        <v>1210000</v>
      </c>
      <c r="K19" s="73">
        <v>1222000</v>
      </c>
      <c r="L19" s="73">
        <v>1234000</v>
      </c>
      <c r="M19" s="73">
        <v>1246000</v>
      </c>
      <c r="N19" s="73">
        <v>1259000</v>
      </c>
    </row>
    <row r="20" spans="1:14" ht="15">
      <c r="A20" s="71"/>
      <c r="B20" s="72" t="s">
        <v>67</v>
      </c>
      <c r="C20" s="73">
        <f>0</f>
        <v>0</v>
      </c>
      <c r="D20" s="73">
        <f>0</f>
        <v>0</v>
      </c>
      <c r="E20" s="73">
        <f>0</f>
        <v>0</v>
      </c>
      <c r="F20" s="73">
        <f>0</f>
        <v>0</v>
      </c>
      <c r="G20" s="73">
        <f>0</f>
        <v>0</v>
      </c>
      <c r="H20" s="73">
        <f>0</f>
        <v>0</v>
      </c>
      <c r="I20" s="73">
        <f>0</f>
        <v>0</v>
      </c>
      <c r="J20" s="73">
        <f>0</f>
        <v>0</v>
      </c>
      <c r="K20" s="73">
        <f>0</f>
        <v>0</v>
      </c>
      <c r="L20" s="73">
        <f>0</f>
        <v>0</v>
      </c>
      <c r="M20" s="73">
        <f>0</f>
        <v>0</v>
      </c>
      <c r="N20" s="73">
        <f>0</f>
        <v>0</v>
      </c>
    </row>
    <row r="21" spans="1:14" ht="24">
      <c r="A21" s="71"/>
      <c r="B21" s="80" t="s">
        <v>68</v>
      </c>
      <c r="C21" s="73">
        <f>0</f>
        <v>0</v>
      </c>
      <c r="D21" s="73">
        <f>0</f>
        <v>0</v>
      </c>
      <c r="E21" s="73">
        <f>0</f>
        <v>0</v>
      </c>
      <c r="F21" s="73">
        <f>0</f>
        <v>0</v>
      </c>
      <c r="G21" s="73">
        <f>0</f>
        <v>0</v>
      </c>
      <c r="H21" s="73">
        <f>0</f>
        <v>0</v>
      </c>
      <c r="I21" s="73">
        <f>0</f>
        <v>0</v>
      </c>
      <c r="J21" s="73">
        <f>0</f>
        <v>0</v>
      </c>
      <c r="K21" s="73">
        <f>0</f>
        <v>0</v>
      </c>
      <c r="L21" s="73">
        <f>0</f>
        <v>0</v>
      </c>
      <c r="M21" s="73">
        <f>0</f>
        <v>0</v>
      </c>
      <c r="N21" s="73">
        <f>0</f>
        <v>0</v>
      </c>
    </row>
    <row r="22" spans="1:14" ht="24">
      <c r="A22" s="71"/>
      <c r="B22" s="81" t="s">
        <v>69</v>
      </c>
      <c r="C22" s="73">
        <f>0</f>
        <v>0</v>
      </c>
      <c r="D22" s="73">
        <f>0</f>
        <v>0</v>
      </c>
      <c r="E22" s="73">
        <f>0</f>
        <v>0</v>
      </c>
      <c r="F22" s="73">
        <f>0</f>
        <v>0</v>
      </c>
      <c r="G22" s="73">
        <f>0</f>
        <v>0</v>
      </c>
      <c r="H22" s="73">
        <f>0</f>
        <v>0</v>
      </c>
      <c r="I22" s="73">
        <f>0</f>
        <v>0</v>
      </c>
      <c r="J22" s="73">
        <f>0</f>
        <v>0</v>
      </c>
      <c r="K22" s="73">
        <f>0</f>
        <v>0</v>
      </c>
      <c r="L22" s="73">
        <f>0</f>
        <v>0</v>
      </c>
      <c r="M22" s="73">
        <f>0</f>
        <v>0</v>
      </c>
      <c r="N22" s="73">
        <f>0</f>
        <v>0</v>
      </c>
    </row>
    <row r="23" spans="1:14" ht="15">
      <c r="A23" s="71"/>
      <c r="B23" s="72" t="s">
        <v>70</v>
      </c>
      <c r="C23" s="73">
        <f>641875</f>
        <v>641875</v>
      </c>
      <c r="D23" s="73">
        <f>96979</f>
        <v>96979</v>
      </c>
      <c r="E23" s="73">
        <f>0</f>
        <v>0</v>
      </c>
      <c r="F23" s="73">
        <f>0</f>
        <v>0</v>
      </c>
      <c r="G23" s="73">
        <f>0</f>
        <v>0</v>
      </c>
      <c r="H23" s="73">
        <f>0</f>
        <v>0</v>
      </c>
      <c r="I23" s="73">
        <f>0</f>
        <v>0</v>
      </c>
      <c r="J23" s="73">
        <f>0</f>
        <v>0</v>
      </c>
      <c r="K23" s="73">
        <f>0</f>
        <v>0</v>
      </c>
      <c r="L23" s="73">
        <f>0</f>
        <v>0</v>
      </c>
      <c r="M23" s="73">
        <f>0</f>
        <v>0</v>
      </c>
      <c r="N23" s="73">
        <f>0</f>
        <v>0</v>
      </c>
    </row>
    <row r="24" spans="1:14" ht="24">
      <c r="A24" s="71"/>
      <c r="B24" s="72" t="s">
        <v>71</v>
      </c>
      <c r="C24" s="73">
        <f>0</f>
        <v>0</v>
      </c>
      <c r="D24" s="73">
        <f>0</f>
        <v>0</v>
      </c>
      <c r="E24" s="73">
        <f>0</f>
        <v>0</v>
      </c>
      <c r="F24" s="73">
        <f>0</f>
        <v>0</v>
      </c>
      <c r="G24" s="73">
        <f>0</f>
        <v>0</v>
      </c>
      <c r="H24" s="73">
        <f>0</f>
        <v>0</v>
      </c>
      <c r="I24" s="73">
        <f>0</f>
        <v>0</v>
      </c>
      <c r="J24" s="73">
        <f>0</f>
        <v>0</v>
      </c>
      <c r="K24" s="73">
        <f>0</f>
        <v>0</v>
      </c>
      <c r="L24" s="73">
        <f>0</f>
        <v>0</v>
      </c>
      <c r="M24" s="73">
        <f>0</f>
        <v>0</v>
      </c>
      <c r="N24" s="73">
        <f>0</f>
        <v>0</v>
      </c>
    </row>
    <row r="25" spans="1:14" ht="15">
      <c r="A25" s="77"/>
      <c r="B25" s="82" t="s">
        <v>72</v>
      </c>
      <c r="C25" s="79">
        <f>0</f>
        <v>0</v>
      </c>
      <c r="D25" s="79">
        <f>0</f>
        <v>0</v>
      </c>
      <c r="E25" s="79">
        <f>0</f>
        <v>0</v>
      </c>
      <c r="F25" s="79">
        <f>0</f>
        <v>0</v>
      </c>
      <c r="G25" s="79">
        <f>0</f>
        <v>0</v>
      </c>
      <c r="H25" s="79">
        <f>0</f>
        <v>0</v>
      </c>
      <c r="I25" s="79">
        <f>0</f>
        <v>0</v>
      </c>
      <c r="J25" s="79">
        <f>0</f>
        <v>0</v>
      </c>
      <c r="K25" s="79">
        <f>0</f>
        <v>0</v>
      </c>
      <c r="L25" s="79">
        <f>0</f>
        <v>0</v>
      </c>
      <c r="M25" s="79">
        <f>0</f>
        <v>0</v>
      </c>
      <c r="N25" s="79">
        <f>0</f>
        <v>0</v>
      </c>
    </row>
    <row r="26" spans="1:14" ht="21" customHeight="1">
      <c r="A26" s="83">
        <v>3</v>
      </c>
      <c r="B26" s="84" t="s">
        <v>73</v>
      </c>
      <c r="C26" s="70">
        <f>2994705</f>
        <v>2994705</v>
      </c>
      <c r="D26" s="70">
        <f>3050000</f>
        <v>3050000</v>
      </c>
      <c r="E26" s="70">
        <f>2287025</f>
        <v>2287025</v>
      </c>
      <c r="F26" s="70">
        <f>1770000</f>
        <v>1770000</v>
      </c>
      <c r="G26" s="70">
        <f>2000000</f>
        <v>2000000</v>
      </c>
      <c r="H26" s="70">
        <f>2205000</f>
        <v>2205000</v>
      </c>
      <c r="I26" s="70">
        <f>2400000</f>
        <v>2400000</v>
      </c>
      <c r="J26" s="70">
        <f>2510000</f>
        <v>2510000</v>
      </c>
      <c r="K26" s="70">
        <f>2768000</f>
        <v>2768000</v>
      </c>
      <c r="L26" s="70">
        <f>3035000</f>
        <v>3035000</v>
      </c>
      <c r="M26" s="70">
        <f>3306000</f>
        <v>3306000</v>
      </c>
      <c r="N26" s="70">
        <f>3580000</f>
        <v>3580000</v>
      </c>
    </row>
    <row r="27" spans="1:14" ht="24">
      <c r="A27" s="68">
        <v>4</v>
      </c>
      <c r="B27" s="69" t="s">
        <v>74</v>
      </c>
      <c r="C27" s="70">
        <f>0</f>
        <v>0</v>
      </c>
      <c r="D27" s="70">
        <f>0</f>
        <v>0</v>
      </c>
      <c r="E27" s="70">
        <f>0</f>
        <v>0</v>
      </c>
      <c r="F27" s="70">
        <f>0</f>
        <v>0</v>
      </c>
      <c r="G27" s="70">
        <f>0</f>
        <v>0</v>
      </c>
      <c r="H27" s="70">
        <f>0</f>
        <v>0</v>
      </c>
      <c r="I27" s="70">
        <f>0</f>
        <v>0</v>
      </c>
      <c r="J27" s="70">
        <f>0</f>
        <v>0</v>
      </c>
      <c r="K27" s="70">
        <f>0</f>
        <v>0</v>
      </c>
      <c r="L27" s="70">
        <f>0</f>
        <v>0</v>
      </c>
      <c r="M27" s="70">
        <f>0</f>
        <v>0</v>
      </c>
      <c r="N27" s="70">
        <f>0</f>
        <v>0</v>
      </c>
    </row>
    <row r="28" spans="1:14" ht="15">
      <c r="A28" s="77"/>
      <c r="B28" s="85" t="s">
        <v>75</v>
      </c>
      <c r="C28" s="79">
        <f>0</f>
        <v>0</v>
      </c>
      <c r="D28" s="79">
        <f>0</f>
        <v>0</v>
      </c>
      <c r="E28" s="79">
        <f>0</f>
        <v>0</v>
      </c>
      <c r="F28" s="79">
        <f>0</f>
        <v>0</v>
      </c>
      <c r="G28" s="79">
        <f>0</f>
        <v>0</v>
      </c>
      <c r="H28" s="79">
        <f>0</f>
        <v>0</v>
      </c>
      <c r="I28" s="79">
        <f>0</f>
        <v>0</v>
      </c>
      <c r="J28" s="79">
        <f>0</f>
        <v>0</v>
      </c>
      <c r="K28" s="79">
        <f>0</f>
        <v>0</v>
      </c>
      <c r="L28" s="79">
        <f>0</f>
        <v>0</v>
      </c>
      <c r="M28" s="79">
        <f>0</f>
        <v>0</v>
      </c>
      <c r="N28" s="79">
        <f>0</f>
        <v>0</v>
      </c>
    </row>
    <row r="29" spans="1:14" ht="27.75" customHeight="1">
      <c r="A29" s="86">
        <v>5</v>
      </c>
      <c r="B29" s="87" t="s">
        <v>76</v>
      </c>
      <c r="C29" s="70">
        <f>0</f>
        <v>0</v>
      </c>
      <c r="D29" s="70">
        <f>0</f>
        <v>0</v>
      </c>
      <c r="E29" s="70">
        <f>0</f>
        <v>0</v>
      </c>
      <c r="F29" s="70">
        <f>0</f>
        <v>0</v>
      </c>
      <c r="G29" s="70">
        <f>0</f>
        <v>0</v>
      </c>
      <c r="H29" s="70">
        <f>0</f>
        <v>0</v>
      </c>
      <c r="I29" s="70">
        <f>0</f>
        <v>0</v>
      </c>
      <c r="J29" s="70">
        <f>0</f>
        <v>0</v>
      </c>
      <c r="K29" s="70">
        <f>0</f>
        <v>0</v>
      </c>
      <c r="L29" s="70">
        <f>0</f>
        <v>0</v>
      </c>
      <c r="M29" s="70">
        <f>0</f>
        <v>0</v>
      </c>
      <c r="N29" s="70">
        <f>0</f>
        <v>0</v>
      </c>
    </row>
    <row r="30" spans="1:14" ht="15">
      <c r="A30" s="77"/>
      <c r="B30" s="85" t="s">
        <v>75</v>
      </c>
      <c r="C30" s="79">
        <f>0</f>
        <v>0</v>
      </c>
      <c r="D30" s="79">
        <f>0</f>
        <v>0</v>
      </c>
      <c r="E30" s="79">
        <f>0</f>
        <v>0</v>
      </c>
      <c r="F30" s="79">
        <f>0</f>
        <v>0</v>
      </c>
      <c r="G30" s="79">
        <f>0</f>
        <v>0</v>
      </c>
      <c r="H30" s="79">
        <f>0</f>
        <v>0</v>
      </c>
      <c r="I30" s="79">
        <f>0</f>
        <v>0</v>
      </c>
      <c r="J30" s="79">
        <f>0</f>
        <v>0</v>
      </c>
      <c r="K30" s="79">
        <f>0</f>
        <v>0</v>
      </c>
      <c r="L30" s="79">
        <f>0</f>
        <v>0</v>
      </c>
      <c r="M30" s="79">
        <f>0</f>
        <v>0</v>
      </c>
      <c r="N30" s="79">
        <f>0</f>
        <v>0</v>
      </c>
    </row>
    <row r="31" spans="1:14" ht="18.75" customHeight="1">
      <c r="A31" s="68">
        <v>6</v>
      </c>
      <c r="B31" s="69" t="s">
        <v>77</v>
      </c>
      <c r="C31" s="70">
        <f>262990</f>
        <v>262990</v>
      </c>
      <c r="D31" s="70">
        <f>0</f>
        <v>0</v>
      </c>
      <c r="E31" s="70">
        <f>0</f>
        <v>0</v>
      </c>
      <c r="F31" s="70">
        <f>0</f>
        <v>0</v>
      </c>
      <c r="G31" s="70">
        <f>0</f>
        <v>0</v>
      </c>
      <c r="H31" s="70">
        <f>0</f>
        <v>0</v>
      </c>
      <c r="I31" s="70">
        <f>0</f>
        <v>0</v>
      </c>
      <c r="J31" s="70">
        <f>0</f>
        <v>0</v>
      </c>
      <c r="K31" s="70">
        <f>0</f>
        <v>0</v>
      </c>
      <c r="L31" s="70">
        <f>0</f>
        <v>0</v>
      </c>
      <c r="M31" s="70">
        <f>0</f>
        <v>0</v>
      </c>
      <c r="N31" s="70">
        <f>0</f>
        <v>0</v>
      </c>
    </row>
    <row r="32" spans="1:14" ht="15">
      <c r="A32" s="77"/>
      <c r="B32" s="85" t="s">
        <v>75</v>
      </c>
      <c r="C32" s="79">
        <f>0</f>
        <v>0</v>
      </c>
      <c r="D32" s="79">
        <f>0</f>
        <v>0</v>
      </c>
      <c r="E32" s="79">
        <f>0</f>
        <v>0</v>
      </c>
      <c r="F32" s="79">
        <f>0</f>
        <v>0</v>
      </c>
      <c r="G32" s="79">
        <f>0</f>
        <v>0</v>
      </c>
      <c r="H32" s="79">
        <f>0</f>
        <v>0</v>
      </c>
      <c r="I32" s="79">
        <f>0</f>
        <v>0</v>
      </c>
      <c r="J32" s="79">
        <f>0</f>
        <v>0</v>
      </c>
      <c r="K32" s="79">
        <f>0</f>
        <v>0</v>
      </c>
      <c r="L32" s="79">
        <f>0</f>
        <v>0</v>
      </c>
      <c r="M32" s="79">
        <f>0</f>
        <v>0</v>
      </c>
      <c r="N32" s="79">
        <f>0</f>
        <v>0</v>
      </c>
    </row>
    <row r="33" spans="1:14" ht="19.5" customHeight="1">
      <c r="A33" s="83">
        <v>7</v>
      </c>
      <c r="B33" s="84" t="s">
        <v>78</v>
      </c>
      <c r="C33" s="70">
        <f>3257695</f>
        <v>3257695</v>
      </c>
      <c r="D33" s="70">
        <f>3050000</f>
        <v>3050000</v>
      </c>
      <c r="E33" s="70">
        <f>2287025</f>
        <v>2287025</v>
      </c>
      <c r="F33" s="70">
        <f>1770000</f>
        <v>1770000</v>
      </c>
      <c r="G33" s="70">
        <f>2000000</f>
        <v>2000000</v>
      </c>
      <c r="H33" s="70">
        <f>2205000</f>
        <v>2205000</v>
      </c>
      <c r="I33" s="70">
        <f>2400000</f>
        <v>2400000</v>
      </c>
      <c r="J33" s="70">
        <f>2510000</f>
        <v>2510000</v>
      </c>
      <c r="K33" s="70">
        <f>2768000</f>
        <v>2768000</v>
      </c>
      <c r="L33" s="70">
        <f>3035000</f>
        <v>3035000</v>
      </c>
      <c r="M33" s="70">
        <f>3306000</f>
        <v>3306000</v>
      </c>
      <c r="N33" s="70">
        <f>3580000</f>
        <v>3580000</v>
      </c>
    </row>
    <row r="34" spans="1:14" ht="15">
      <c r="A34" s="68">
        <v>8</v>
      </c>
      <c r="B34" s="69" t="s">
        <v>79</v>
      </c>
      <c r="C34" s="70">
        <f>2053125</f>
        <v>2053125</v>
      </c>
      <c r="D34" s="70">
        <f>1242135</f>
        <v>1242135</v>
      </c>
      <c r="E34" s="70">
        <f>1629160</f>
        <v>1629160</v>
      </c>
      <c r="F34" s="70">
        <f>1186135</f>
        <v>1186135</v>
      </c>
      <c r="G34" s="70">
        <f>1145135</f>
        <v>1145135</v>
      </c>
      <c r="H34" s="70">
        <f>1054515</f>
        <v>1054515</v>
      </c>
      <c r="I34" s="70">
        <f>922551</f>
        <v>922551</v>
      </c>
      <c r="J34" s="70">
        <f>626671</f>
        <v>626671</v>
      </c>
      <c r="K34" s="70">
        <f>580551</f>
        <v>580551</v>
      </c>
      <c r="L34" s="70">
        <f>553551</f>
        <v>553551</v>
      </c>
      <c r="M34" s="70">
        <f>480151</f>
        <v>480151</v>
      </c>
      <c r="N34" s="70">
        <f>245050</f>
        <v>245050</v>
      </c>
    </row>
    <row r="35" spans="1:14" ht="24">
      <c r="A35" s="71"/>
      <c r="B35" s="81" t="s">
        <v>80</v>
      </c>
      <c r="C35" s="73">
        <f>1598125</f>
        <v>1598125</v>
      </c>
      <c r="D35" s="73">
        <f>835135</f>
        <v>835135</v>
      </c>
      <c r="E35" s="73">
        <f>1300160</f>
        <v>1300160</v>
      </c>
      <c r="F35" s="73">
        <f>915135</f>
        <v>915135</v>
      </c>
      <c r="G35" s="73">
        <f>915135</f>
        <v>915135</v>
      </c>
      <c r="H35" s="73">
        <f>865515</f>
        <v>865515</v>
      </c>
      <c r="I35" s="73">
        <f>775551</f>
        <v>775551</v>
      </c>
      <c r="J35" s="73">
        <f>516671</f>
        <v>516671</v>
      </c>
      <c r="K35" s="73">
        <f>501551</f>
        <v>501551</v>
      </c>
      <c r="L35" s="73">
        <f>501551</f>
        <v>501551</v>
      </c>
      <c r="M35" s="73">
        <f>454151</f>
        <v>454151</v>
      </c>
      <c r="N35" s="73">
        <f>239050</f>
        <v>239050</v>
      </c>
    </row>
    <row r="36" spans="1:14" ht="24">
      <c r="A36" s="71"/>
      <c r="B36" s="74" t="s">
        <v>81</v>
      </c>
      <c r="C36" s="73">
        <f>500000</f>
        <v>500000</v>
      </c>
      <c r="D36" s="73">
        <f>0</f>
        <v>0</v>
      </c>
      <c r="E36" s="73">
        <f>425025</f>
        <v>425025</v>
      </c>
      <c r="F36" s="73">
        <f>0</f>
        <v>0</v>
      </c>
      <c r="G36" s="73">
        <f>0</f>
        <v>0</v>
      </c>
      <c r="H36" s="73">
        <f>0</f>
        <v>0</v>
      </c>
      <c r="I36" s="73">
        <f>0</f>
        <v>0</v>
      </c>
      <c r="J36" s="73">
        <f>0</f>
        <v>0</v>
      </c>
      <c r="K36" s="73">
        <f>0</f>
        <v>0</v>
      </c>
      <c r="L36" s="73">
        <f>0</f>
        <v>0</v>
      </c>
      <c r="M36" s="73">
        <f>0</f>
        <v>0</v>
      </c>
      <c r="N36" s="73">
        <f>0</f>
        <v>0</v>
      </c>
    </row>
    <row r="37" spans="1:14" ht="15">
      <c r="A37" s="71"/>
      <c r="B37" s="72" t="s">
        <v>82</v>
      </c>
      <c r="C37" s="73">
        <f>455000</f>
        <v>455000</v>
      </c>
      <c r="D37" s="73">
        <f>407000</f>
        <v>407000</v>
      </c>
      <c r="E37" s="73">
        <f>329000</f>
        <v>329000</v>
      </c>
      <c r="F37" s="73">
        <f>271000</f>
        <v>271000</v>
      </c>
      <c r="G37" s="73">
        <f>230000</f>
        <v>230000</v>
      </c>
      <c r="H37" s="73">
        <f>189000</f>
        <v>189000</v>
      </c>
      <c r="I37" s="73">
        <f>147000</f>
        <v>147000</v>
      </c>
      <c r="J37" s="73">
        <f>110000</f>
        <v>110000</v>
      </c>
      <c r="K37" s="73">
        <f>79000</f>
        <v>79000</v>
      </c>
      <c r="L37" s="73">
        <f>52000</f>
        <v>52000</v>
      </c>
      <c r="M37" s="73">
        <f>26000</f>
        <v>26000</v>
      </c>
      <c r="N37" s="73">
        <f>6000</f>
        <v>6000</v>
      </c>
    </row>
    <row r="38" spans="1:14" ht="15">
      <c r="A38" s="77"/>
      <c r="B38" s="82" t="s">
        <v>83</v>
      </c>
      <c r="C38" s="79">
        <f>455000</f>
        <v>455000</v>
      </c>
      <c r="D38" s="79">
        <f>407000</f>
        <v>407000</v>
      </c>
      <c r="E38" s="79">
        <f>329000</f>
        <v>329000</v>
      </c>
      <c r="F38" s="79">
        <f>271000</f>
        <v>271000</v>
      </c>
      <c r="G38" s="79">
        <f>230000</f>
        <v>230000</v>
      </c>
      <c r="H38" s="79">
        <f>189000</f>
        <v>189000</v>
      </c>
      <c r="I38" s="79">
        <f>147000</f>
        <v>147000</v>
      </c>
      <c r="J38" s="79">
        <f>110000</f>
        <v>110000</v>
      </c>
      <c r="K38" s="79">
        <f>79000</f>
        <v>79000</v>
      </c>
      <c r="L38" s="79">
        <f>52000</f>
        <v>52000</v>
      </c>
      <c r="M38" s="79">
        <f>26000</f>
        <v>26000</v>
      </c>
      <c r="N38" s="79">
        <f>6000</f>
        <v>6000</v>
      </c>
    </row>
    <row r="39" spans="1:14" ht="18.75" customHeight="1">
      <c r="A39" s="83">
        <v>9</v>
      </c>
      <c r="B39" s="88" t="s">
        <v>84</v>
      </c>
      <c r="C39" s="70">
        <f>0</f>
        <v>0</v>
      </c>
      <c r="D39" s="70">
        <f>0</f>
        <v>0</v>
      </c>
      <c r="E39" s="70">
        <f>0</f>
        <v>0</v>
      </c>
      <c r="F39" s="70">
        <f>0</f>
        <v>0</v>
      </c>
      <c r="G39" s="70">
        <f>0</f>
        <v>0</v>
      </c>
      <c r="H39" s="70">
        <f>0</f>
        <v>0</v>
      </c>
      <c r="I39" s="70">
        <f>0</f>
        <v>0</v>
      </c>
      <c r="J39" s="70">
        <f>0</f>
        <v>0</v>
      </c>
      <c r="K39" s="70">
        <f>0</f>
        <v>0</v>
      </c>
      <c r="L39" s="70">
        <f>0</f>
        <v>0</v>
      </c>
      <c r="M39" s="70">
        <f>0</f>
        <v>0</v>
      </c>
      <c r="N39" s="70">
        <f>0</f>
        <v>0</v>
      </c>
    </row>
    <row r="40" spans="1:14" ht="18.75" customHeight="1">
      <c r="A40" s="83">
        <v>10</v>
      </c>
      <c r="B40" s="84" t="s">
        <v>85</v>
      </c>
      <c r="C40" s="70">
        <f>1204570</f>
        <v>1204570</v>
      </c>
      <c r="D40" s="70">
        <f>1807865</f>
        <v>1807865</v>
      </c>
      <c r="E40" s="70">
        <f>657865</f>
        <v>657865</v>
      </c>
      <c r="F40" s="70">
        <f>583865</f>
        <v>583865</v>
      </c>
      <c r="G40" s="70">
        <f>854865</f>
        <v>854865</v>
      </c>
      <c r="H40" s="70">
        <f>1150485</f>
        <v>1150485</v>
      </c>
      <c r="I40" s="70">
        <f>1477449</f>
        <v>1477449</v>
      </c>
      <c r="J40" s="70">
        <f>1883329</f>
        <v>1883329</v>
      </c>
      <c r="K40" s="70">
        <f>2187449</f>
        <v>2187449</v>
      </c>
      <c r="L40" s="70">
        <f>2481449</f>
        <v>2481449</v>
      </c>
      <c r="M40" s="70">
        <f>2825849</f>
        <v>2825849</v>
      </c>
      <c r="N40" s="70">
        <f>3334950</f>
        <v>3334950</v>
      </c>
    </row>
    <row r="41" spans="1:14" ht="15">
      <c r="A41" s="65" t="s">
        <v>53</v>
      </c>
      <c r="B41" s="66" t="s">
        <v>54</v>
      </c>
      <c r="C41" s="67" t="s">
        <v>55</v>
      </c>
      <c r="D41" s="67">
        <f>+C41+1</f>
        <v>2014</v>
      </c>
      <c r="E41" s="67">
        <f>+D41+1</f>
        <v>2015</v>
      </c>
      <c r="F41" s="67">
        <f>+E41+1</f>
        <v>2016</v>
      </c>
      <c r="G41" s="67">
        <f>+F41+1</f>
        <v>2017</v>
      </c>
      <c r="H41" s="67">
        <f>+G41+1</f>
        <v>2018</v>
      </c>
      <c r="I41" s="67">
        <f>+H41+1</f>
        <v>2019</v>
      </c>
      <c r="J41" s="67">
        <f>+I41+1</f>
        <v>2020</v>
      </c>
      <c r="K41" s="67">
        <f>+J41+1</f>
        <v>2021</v>
      </c>
      <c r="L41" s="67">
        <f>+K41+1</f>
        <v>2022</v>
      </c>
      <c r="M41" s="67">
        <f>+L41+1</f>
        <v>2023</v>
      </c>
      <c r="N41" s="67">
        <f>+M41+1</f>
        <v>2024</v>
      </c>
    </row>
    <row r="42" spans="1:14" ht="15">
      <c r="A42" s="68">
        <v>11</v>
      </c>
      <c r="B42" s="69" t="s">
        <v>86</v>
      </c>
      <c r="C42" s="70">
        <f>1204570</f>
        <v>1204570</v>
      </c>
      <c r="D42" s="70">
        <f>2608010</f>
        <v>2608010</v>
      </c>
      <c r="E42" s="70">
        <f>657865</f>
        <v>657865</v>
      </c>
      <c r="F42" s="70">
        <f>583865</f>
        <v>583865</v>
      </c>
      <c r="G42" s="70">
        <f>854865</f>
        <v>854865</v>
      </c>
      <c r="H42" s="70">
        <f>1150485</f>
        <v>1150485</v>
      </c>
      <c r="I42" s="70">
        <f>1477449</f>
        <v>1477449</v>
      </c>
      <c r="J42" s="70">
        <f>1883329</f>
        <v>1883329</v>
      </c>
      <c r="K42" s="70">
        <f>2187449</f>
        <v>2187449</v>
      </c>
      <c r="L42" s="70">
        <f>2481449</f>
        <v>2481449</v>
      </c>
      <c r="M42" s="70">
        <f>2825849</f>
        <v>2825849</v>
      </c>
      <c r="N42" s="70">
        <f>3334950</f>
        <v>3334950</v>
      </c>
    </row>
    <row r="43" spans="1:14" ht="15">
      <c r="A43" s="71"/>
      <c r="B43" s="72" t="s">
        <v>87</v>
      </c>
      <c r="C43" s="73">
        <f>774630</f>
        <v>774630</v>
      </c>
      <c r="D43" s="73">
        <f>1548270</f>
        <v>1548270</v>
      </c>
      <c r="E43" s="73">
        <f>0</f>
        <v>0</v>
      </c>
      <c r="F43" s="73">
        <f>0</f>
        <v>0</v>
      </c>
      <c r="G43" s="73">
        <f>0</f>
        <v>0</v>
      </c>
      <c r="H43" s="73">
        <f>0</f>
        <v>0</v>
      </c>
      <c r="I43" s="73">
        <f>0</f>
        <v>0</v>
      </c>
      <c r="J43" s="73">
        <f>0</f>
        <v>0</v>
      </c>
      <c r="K43" s="73">
        <f>0</f>
        <v>0</v>
      </c>
      <c r="L43" s="73">
        <f>0</f>
        <v>0</v>
      </c>
      <c r="M43" s="73">
        <f>0</f>
        <v>0</v>
      </c>
      <c r="N43" s="73">
        <f>0</f>
        <v>0</v>
      </c>
    </row>
    <row r="44" spans="1:14" ht="24">
      <c r="A44" s="71"/>
      <c r="B44" s="72" t="s">
        <v>88</v>
      </c>
      <c r="C44" s="73">
        <f>30100</f>
        <v>30100</v>
      </c>
      <c r="D44" s="73">
        <f>0</f>
        <v>0</v>
      </c>
      <c r="E44" s="73">
        <f>0</f>
        <v>0</v>
      </c>
      <c r="F44" s="73">
        <f>0</f>
        <v>0</v>
      </c>
      <c r="G44" s="73">
        <f>0</f>
        <v>0</v>
      </c>
      <c r="H44" s="73">
        <f>0</f>
        <v>0</v>
      </c>
      <c r="I44" s="73">
        <f>0</f>
        <v>0</v>
      </c>
      <c r="J44" s="73">
        <f>0</f>
        <v>0</v>
      </c>
      <c r="K44" s="73">
        <f>0</f>
        <v>0</v>
      </c>
      <c r="L44" s="73">
        <f>0</f>
        <v>0</v>
      </c>
      <c r="M44" s="73">
        <f>0</f>
        <v>0</v>
      </c>
      <c r="N44" s="73">
        <f>0</f>
        <v>0</v>
      </c>
    </row>
    <row r="45" spans="1:14" ht="15">
      <c r="A45" s="77"/>
      <c r="B45" s="85" t="s">
        <v>89</v>
      </c>
      <c r="C45" s="79">
        <f>0</f>
        <v>0</v>
      </c>
      <c r="D45" s="79">
        <f>0</f>
        <v>0</v>
      </c>
      <c r="E45" s="79">
        <f>0</f>
        <v>0</v>
      </c>
      <c r="F45" s="79">
        <f>0</f>
        <v>0</v>
      </c>
      <c r="G45" s="79">
        <f>0</f>
        <v>0</v>
      </c>
      <c r="H45" s="79">
        <f>0</f>
        <v>0</v>
      </c>
      <c r="I45" s="79">
        <f>0</f>
        <v>0</v>
      </c>
      <c r="J45" s="79">
        <f>0</f>
        <v>0</v>
      </c>
      <c r="K45" s="79">
        <f>0</f>
        <v>0</v>
      </c>
      <c r="L45" s="79">
        <f>0</f>
        <v>0</v>
      </c>
      <c r="M45" s="79">
        <f>0</f>
        <v>0</v>
      </c>
      <c r="N45" s="79">
        <f>0</f>
        <v>0</v>
      </c>
    </row>
    <row r="46" spans="1:14" ht="15">
      <c r="A46" s="68">
        <v>12</v>
      </c>
      <c r="B46" s="69" t="s">
        <v>90</v>
      </c>
      <c r="C46" s="70">
        <f>0</f>
        <v>0</v>
      </c>
      <c r="D46" s="70">
        <f>800145</f>
        <v>800145</v>
      </c>
      <c r="E46" s="70">
        <f>0</f>
        <v>0</v>
      </c>
      <c r="F46" s="70">
        <f>0</f>
        <v>0</v>
      </c>
      <c r="G46" s="70">
        <f>0</f>
        <v>0</v>
      </c>
      <c r="H46" s="70">
        <f>0</f>
        <v>0</v>
      </c>
      <c r="I46" s="70">
        <f>0</f>
        <v>0</v>
      </c>
      <c r="J46" s="70">
        <f>0</f>
        <v>0</v>
      </c>
      <c r="K46" s="70">
        <f>0</f>
        <v>0</v>
      </c>
      <c r="L46" s="70">
        <f>0</f>
        <v>0</v>
      </c>
      <c r="M46" s="70">
        <f>0</f>
        <v>0</v>
      </c>
      <c r="N46" s="70">
        <f>0</f>
        <v>0</v>
      </c>
    </row>
    <row r="47" spans="1:14" ht="15">
      <c r="A47" s="77"/>
      <c r="B47" s="85" t="s">
        <v>75</v>
      </c>
      <c r="C47" s="79">
        <f>0</f>
        <v>0</v>
      </c>
      <c r="D47" s="79">
        <f>0</f>
        <v>0</v>
      </c>
      <c r="E47" s="79">
        <f>0</f>
        <v>0</v>
      </c>
      <c r="F47" s="79">
        <f>0</f>
        <v>0</v>
      </c>
      <c r="G47" s="79">
        <f>0</f>
        <v>0</v>
      </c>
      <c r="H47" s="79">
        <f>0</f>
        <v>0</v>
      </c>
      <c r="I47" s="79">
        <f>0</f>
        <v>0</v>
      </c>
      <c r="J47" s="79">
        <f>0</f>
        <v>0</v>
      </c>
      <c r="K47" s="79">
        <f>0</f>
        <v>0</v>
      </c>
      <c r="L47" s="79">
        <f>0</f>
        <v>0</v>
      </c>
      <c r="M47" s="79">
        <f>0</f>
        <v>0</v>
      </c>
      <c r="N47" s="79">
        <f>0</f>
        <v>0</v>
      </c>
    </row>
    <row r="48" spans="1:14" ht="15">
      <c r="A48" s="83">
        <v>13</v>
      </c>
      <c r="B48" s="84" t="s">
        <v>91</v>
      </c>
      <c r="C48" s="70">
        <f>0</f>
        <v>0</v>
      </c>
      <c r="D48" s="70">
        <f>0</f>
        <v>0</v>
      </c>
      <c r="E48" s="70">
        <f>0</f>
        <v>0</v>
      </c>
      <c r="F48" s="70">
        <f>0</f>
        <v>0</v>
      </c>
      <c r="G48" s="70">
        <f>0</f>
        <v>0</v>
      </c>
      <c r="H48" s="70">
        <f>0</f>
        <v>0</v>
      </c>
      <c r="I48" s="70">
        <f>0</f>
        <v>0</v>
      </c>
      <c r="J48" s="70">
        <f>0</f>
        <v>0</v>
      </c>
      <c r="K48" s="70">
        <f>0</f>
        <v>0</v>
      </c>
      <c r="L48" s="70">
        <f>0</f>
        <v>0</v>
      </c>
      <c r="M48" s="70">
        <f>0</f>
        <v>0</v>
      </c>
      <c r="N48" s="70">
        <f>0</f>
        <v>0</v>
      </c>
    </row>
    <row r="49" spans="1:14" ht="15">
      <c r="A49" s="68">
        <v>14</v>
      </c>
      <c r="B49" s="69" t="s">
        <v>92</v>
      </c>
      <c r="C49" s="70">
        <f>7019460</f>
        <v>7019460</v>
      </c>
      <c r="D49" s="70">
        <f>6984470</f>
        <v>6984470</v>
      </c>
      <c r="E49" s="70">
        <f>5684310</f>
        <v>5684310</v>
      </c>
      <c r="F49" s="70">
        <f>4769175</f>
        <v>4769175</v>
      </c>
      <c r="G49" s="70">
        <f>3854040</f>
        <v>3854040</v>
      </c>
      <c r="H49" s="70">
        <f>2988525</f>
        <v>2988525</v>
      </c>
      <c r="I49" s="70">
        <f>2212974</f>
        <v>2212974</v>
      </c>
      <c r="J49" s="70">
        <f>1696303</f>
        <v>1696303</v>
      </c>
      <c r="K49" s="70">
        <f>1194752</f>
        <v>1194752</v>
      </c>
      <c r="L49" s="70">
        <f>693201</f>
        <v>693201</v>
      </c>
      <c r="M49" s="70">
        <f>239050</f>
        <v>239050</v>
      </c>
      <c r="N49" s="70">
        <f>0</f>
        <v>0</v>
      </c>
    </row>
    <row r="50" spans="1:14" ht="24">
      <c r="A50" s="77"/>
      <c r="B50" s="85" t="s">
        <v>93</v>
      </c>
      <c r="C50" s="79">
        <f>0</f>
        <v>0</v>
      </c>
      <c r="D50" s="79">
        <f>0</f>
        <v>0</v>
      </c>
      <c r="E50" s="79">
        <f>0</f>
        <v>0</v>
      </c>
      <c r="F50" s="79">
        <f>0</f>
        <v>0</v>
      </c>
      <c r="G50" s="79">
        <f>0</f>
        <v>0</v>
      </c>
      <c r="H50" s="79">
        <f>0</f>
        <v>0</v>
      </c>
      <c r="I50" s="79">
        <f>0</f>
        <v>0</v>
      </c>
      <c r="J50" s="79">
        <f>0</f>
        <v>0</v>
      </c>
      <c r="K50" s="79">
        <f>0</f>
        <v>0</v>
      </c>
      <c r="L50" s="79">
        <f>0</f>
        <v>0</v>
      </c>
      <c r="M50" s="79">
        <f>0</f>
        <v>0</v>
      </c>
      <c r="N50" s="79">
        <f>0</f>
        <v>0</v>
      </c>
    </row>
    <row r="51" spans="1:14" ht="15">
      <c r="A51" s="83">
        <v>15</v>
      </c>
      <c r="B51" s="84" t="s">
        <v>94</v>
      </c>
      <c r="C51" s="70">
        <f>0</f>
        <v>0</v>
      </c>
      <c r="D51" s="70">
        <f>425025</f>
        <v>425025</v>
      </c>
      <c r="E51" s="70">
        <f>0</f>
        <v>0</v>
      </c>
      <c r="F51" s="70">
        <f>0</f>
        <v>0</v>
      </c>
      <c r="G51" s="70">
        <f>0</f>
        <v>0</v>
      </c>
      <c r="H51" s="70">
        <f>0</f>
        <v>0</v>
      </c>
      <c r="I51" s="70">
        <f>0</f>
        <v>0</v>
      </c>
      <c r="J51" s="70">
        <f>0</f>
        <v>0</v>
      </c>
      <c r="K51" s="70">
        <f>0</f>
        <v>0</v>
      </c>
      <c r="L51" s="70">
        <f>0</f>
        <v>0</v>
      </c>
      <c r="M51" s="70">
        <f>0</f>
        <v>0</v>
      </c>
      <c r="N51" s="70">
        <f>0</f>
        <v>0</v>
      </c>
    </row>
    <row r="52" spans="1:14" ht="38.25" customHeight="1">
      <c r="A52" s="89">
        <v>16</v>
      </c>
      <c r="B52" s="84" t="s">
        <v>95</v>
      </c>
      <c r="C52" s="70">
        <f>0</f>
        <v>0</v>
      </c>
      <c r="D52" s="70">
        <f>0</f>
        <v>0</v>
      </c>
      <c r="E52" s="70">
        <f>0</f>
        <v>0</v>
      </c>
      <c r="F52" s="70">
        <f>0</f>
        <v>0</v>
      </c>
      <c r="G52" s="70">
        <f>0</f>
        <v>0</v>
      </c>
      <c r="H52" s="70">
        <f>0</f>
        <v>0</v>
      </c>
      <c r="I52" s="70">
        <f>0</f>
        <v>0</v>
      </c>
      <c r="J52" s="70">
        <f>0</f>
        <v>0</v>
      </c>
      <c r="K52" s="70">
        <f>0</f>
        <v>0</v>
      </c>
      <c r="L52" s="70">
        <f>0</f>
        <v>0</v>
      </c>
      <c r="M52" s="70">
        <f>0</f>
        <v>0</v>
      </c>
      <c r="N52" s="70">
        <f>0</f>
        <v>0</v>
      </c>
    </row>
    <row r="53" spans="1:14" ht="27" customHeight="1">
      <c r="A53" s="89">
        <v>17</v>
      </c>
      <c r="B53" s="84" t="s">
        <v>96</v>
      </c>
      <c r="C53" s="70">
        <f>1335135</f>
        <v>1335135</v>
      </c>
      <c r="D53" s="70">
        <f>34990</f>
        <v>34990</v>
      </c>
      <c r="E53" s="70">
        <f>1300160</f>
        <v>1300160</v>
      </c>
      <c r="F53" s="70">
        <f>915135</f>
        <v>915135</v>
      </c>
      <c r="G53" s="70">
        <f>915135</f>
        <v>915135</v>
      </c>
      <c r="H53" s="70">
        <f>865515</f>
        <v>865515</v>
      </c>
      <c r="I53" s="70">
        <f>775551</f>
        <v>775551</v>
      </c>
      <c r="J53" s="70">
        <f>516671</f>
        <v>516671</v>
      </c>
      <c r="K53" s="70">
        <f>501551</f>
        <v>501551</v>
      </c>
      <c r="L53" s="70">
        <f>501551</f>
        <v>501551</v>
      </c>
      <c r="M53" s="70">
        <f>454151</f>
        <v>454151</v>
      </c>
      <c r="N53" s="70">
        <f>239050</f>
        <v>239050</v>
      </c>
    </row>
    <row r="54" spans="1:14" ht="24">
      <c r="A54" s="92">
        <v>18</v>
      </c>
      <c r="B54" s="93" t="s">
        <v>97</v>
      </c>
      <c r="C54" s="94">
        <f>C35</f>
        <v>1598125</v>
      </c>
      <c r="D54" s="94">
        <f aca="true" t="shared" si="1" ref="D54:N54">D35</f>
        <v>835135</v>
      </c>
      <c r="E54" s="94">
        <f t="shared" si="1"/>
        <v>1300160</v>
      </c>
      <c r="F54" s="94">
        <f t="shared" si="1"/>
        <v>915135</v>
      </c>
      <c r="G54" s="94">
        <f t="shared" si="1"/>
        <v>915135</v>
      </c>
      <c r="H54" s="94">
        <f t="shared" si="1"/>
        <v>865515</v>
      </c>
      <c r="I54" s="94">
        <f t="shared" si="1"/>
        <v>775551</v>
      </c>
      <c r="J54" s="94">
        <f t="shared" si="1"/>
        <v>516671</v>
      </c>
      <c r="K54" s="94">
        <f t="shared" si="1"/>
        <v>501551</v>
      </c>
      <c r="L54" s="94">
        <f t="shared" si="1"/>
        <v>501551</v>
      </c>
      <c r="M54" s="94">
        <f t="shared" si="1"/>
        <v>454151</v>
      </c>
      <c r="N54" s="94">
        <f t="shared" si="1"/>
        <v>239050</v>
      </c>
    </row>
    <row r="55" spans="1:14" ht="15">
      <c r="A55" s="95"/>
      <c r="B55" s="81" t="s">
        <v>98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</row>
    <row r="56" spans="1:14" ht="15">
      <c r="A56" s="95"/>
      <c r="B56" s="81" t="s">
        <v>99</v>
      </c>
      <c r="C56" s="73">
        <f>0</f>
        <v>0</v>
      </c>
      <c r="D56" s="73">
        <f>0</f>
        <v>0</v>
      </c>
      <c r="E56" s="73">
        <f>0</f>
        <v>0</v>
      </c>
      <c r="F56" s="73">
        <f>0</f>
        <v>0</v>
      </c>
      <c r="G56" s="73">
        <f>0</f>
        <v>0</v>
      </c>
      <c r="H56" s="73">
        <f>0</f>
        <v>0</v>
      </c>
      <c r="I56" s="73">
        <f>0</f>
        <v>0</v>
      </c>
      <c r="J56" s="73">
        <f>0</f>
        <v>0</v>
      </c>
      <c r="K56" s="73">
        <f>0</f>
        <v>0</v>
      </c>
      <c r="L56" s="73">
        <f>0</f>
        <v>0</v>
      </c>
      <c r="M56" s="73">
        <f>0</f>
        <v>0</v>
      </c>
      <c r="N56" s="73">
        <f>0</f>
        <v>0</v>
      </c>
    </row>
    <row r="57" spans="1:14" ht="15">
      <c r="A57" s="95"/>
      <c r="B57" s="97" t="s">
        <v>100</v>
      </c>
      <c r="C57" s="73">
        <f>0</f>
        <v>0</v>
      </c>
      <c r="D57" s="73">
        <f>0</f>
        <v>0</v>
      </c>
      <c r="E57" s="73">
        <f>0</f>
        <v>0</v>
      </c>
      <c r="F57" s="73">
        <f>0</f>
        <v>0</v>
      </c>
      <c r="G57" s="73">
        <f>0</f>
        <v>0</v>
      </c>
      <c r="H57" s="73">
        <f>0</f>
        <v>0</v>
      </c>
      <c r="I57" s="73">
        <f>0</f>
        <v>0</v>
      </c>
      <c r="J57" s="73">
        <f>0</f>
        <v>0</v>
      </c>
      <c r="K57" s="73">
        <f>0</f>
        <v>0</v>
      </c>
      <c r="L57" s="73">
        <f>0</f>
        <v>0</v>
      </c>
      <c r="M57" s="73">
        <f>0</f>
        <v>0</v>
      </c>
      <c r="N57" s="73">
        <f>0</f>
        <v>0</v>
      </c>
    </row>
    <row r="58" spans="1:14" ht="15">
      <c r="A58" s="95"/>
      <c r="B58" s="97" t="s">
        <v>101</v>
      </c>
      <c r="C58" s="73">
        <v>262990</v>
      </c>
      <c r="D58" s="73">
        <f>0</f>
        <v>0</v>
      </c>
      <c r="E58" s="73">
        <f>0</f>
        <v>0</v>
      </c>
      <c r="F58" s="73">
        <f>0</f>
        <v>0</v>
      </c>
      <c r="G58" s="73">
        <f>0</f>
        <v>0</v>
      </c>
      <c r="H58" s="73">
        <f>0</f>
        <v>0</v>
      </c>
      <c r="I58" s="73">
        <f>0</f>
        <v>0</v>
      </c>
      <c r="J58" s="73">
        <f>0</f>
        <v>0</v>
      </c>
      <c r="K58" s="73">
        <f>0</f>
        <v>0</v>
      </c>
      <c r="L58" s="73">
        <f>0</f>
        <v>0</v>
      </c>
      <c r="M58" s="73">
        <f>0</f>
        <v>0</v>
      </c>
      <c r="N58" s="73">
        <f>0</f>
        <v>0</v>
      </c>
    </row>
    <row r="59" spans="1:14" ht="15">
      <c r="A59" s="98"/>
      <c r="B59" s="99" t="s">
        <v>102</v>
      </c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</row>
    <row r="60" spans="1:14" ht="15">
      <c r="A60" s="90"/>
      <c r="B60" s="91" t="s">
        <v>102</v>
      </c>
      <c r="C60" s="79">
        <v>1335135</v>
      </c>
      <c r="D60" s="79">
        <v>835135</v>
      </c>
      <c r="E60" s="79">
        <v>1300160</v>
      </c>
      <c r="F60" s="79">
        <v>915135</v>
      </c>
      <c r="G60" s="79">
        <v>915135</v>
      </c>
      <c r="H60" s="79">
        <v>865515</v>
      </c>
      <c r="I60" s="79">
        <v>775551</v>
      </c>
      <c r="J60" s="79">
        <v>516671</v>
      </c>
      <c r="K60" s="79">
        <v>501551</v>
      </c>
      <c r="L60" s="79">
        <v>501551</v>
      </c>
      <c r="M60" s="79">
        <v>454151</v>
      </c>
      <c r="N60" s="79">
        <v>239050</v>
      </c>
    </row>
    <row r="61" spans="1:14" ht="19.5" customHeight="1">
      <c r="A61" s="101">
        <v>19</v>
      </c>
      <c r="B61" s="102" t="s">
        <v>103</v>
      </c>
      <c r="C61" s="103">
        <f>0.3377</f>
        <v>0.3377</v>
      </c>
      <c r="D61" s="103">
        <f>0.3287</f>
        <v>0.3287</v>
      </c>
      <c r="E61" s="103">
        <f>0.2726</f>
        <v>0.2726</v>
      </c>
      <c r="F61" s="103">
        <f>0.2304</f>
        <v>0.2304</v>
      </c>
      <c r="G61" s="103">
        <f>0.1809</f>
        <v>0.1809</v>
      </c>
      <c r="H61" s="103">
        <f>0.1365</f>
        <v>0.1365</v>
      </c>
      <c r="I61" s="103">
        <f>0.0984</f>
        <v>0.0984</v>
      </c>
      <c r="J61" s="103">
        <f>0.0738</f>
        <v>0.0738</v>
      </c>
      <c r="K61" s="103">
        <f>0.0509</f>
        <v>0.0509</v>
      </c>
      <c r="L61" s="103">
        <f>0.029</f>
        <v>0.029</v>
      </c>
      <c r="M61" s="103">
        <f>0.0098</f>
        <v>0.0098</v>
      </c>
      <c r="N61" s="103">
        <f>0</f>
        <v>0</v>
      </c>
    </row>
    <row r="62" spans="1:14" ht="28.5" customHeight="1">
      <c r="A62" s="95"/>
      <c r="B62" s="104" t="s">
        <v>104</v>
      </c>
      <c r="C62" s="105">
        <f>0.3377</f>
        <v>0.3377</v>
      </c>
      <c r="D62" s="105">
        <f>0.3087</f>
        <v>0.3087</v>
      </c>
      <c r="E62" s="105">
        <f>0.2726</f>
        <v>0.2726</v>
      </c>
      <c r="F62" s="105">
        <f>0.2304</f>
        <v>0.2304</v>
      </c>
      <c r="G62" s="105">
        <f>0.1809</f>
        <v>0.1809</v>
      </c>
      <c r="H62" s="105">
        <f>0.1365</f>
        <v>0.1365</v>
      </c>
      <c r="I62" s="105">
        <f>0.0984</f>
        <v>0.0984</v>
      </c>
      <c r="J62" s="105">
        <f>0.0738</f>
        <v>0.0738</v>
      </c>
      <c r="K62" s="105">
        <f>0.0509</f>
        <v>0.0509</v>
      </c>
      <c r="L62" s="105">
        <f>0.029</f>
        <v>0.029</v>
      </c>
      <c r="M62" s="105">
        <f>0.0098</f>
        <v>0.0098</v>
      </c>
      <c r="N62" s="105">
        <f>0</f>
        <v>0</v>
      </c>
    </row>
    <row r="63" spans="1:14" ht="27" customHeight="1">
      <c r="A63" s="95">
        <v>20</v>
      </c>
      <c r="B63" s="106" t="s">
        <v>105</v>
      </c>
      <c r="C63" s="105">
        <f>0.099</f>
        <v>0.099</v>
      </c>
      <c r="D63" s="105">
        <f>0.0585</f>
        <v>0.0585</v>
      </c>
      <c r="E63" s="105">
        <f>0.0781</f>
        <v>0.0781</v>
      </c>
      <c r="F63" s="105">
        <f>0.0573</f>
        <v>0.0573</v>
      </c>
      <c r="G63" s="105">
        <f>0.0538</f>
        <v>0.0538</v>
      </c>
      <c r="H63" s="105">
        <f>0.0482</f>
        <v>0.0482</v>
      </c>
      <c r="I63" s="105">
        <f>0.041</f>
        <v>0.041</v>
      </c>
      <c r="J63" s="105">
        <f>0.0272</f>
        <v>0.0272</v>
      </c>
      <c r="K63" s="105">
        <f>0.0247</f>
        <v>0.0247</v>
      </c>
      <c r="L63" s="105">
        <f>0.0231</f>
        <v>0.0231</v>
      </c>
      <c r="M63" s="105">
        <f>0.0197</f>
        <v>0.0197</v>
      </c>
      <c r="N63" s="105">
        <f>0.0098</f>
        <v>0.0098</v>
      </c>
    </row>
    <row r="64" spans="1:14" ht="27" customHeight="1">
      <c r="A64" s="90"/>
      <c r="B64" s="107" t="s">
        <v>106</v>
      </c>
      <c r="C64" s="108">
        <f>0.075</f>
        <v>0.075</v>
      </c>
      <c r="D64" s="108">
        <f>0.0585</f>
        <v>0.0585</v>
      </c>
      <c r="E64" s="108">
        <f>0.0577</f>
        <v>0.0577</v>
      </c>
      <c r="F64" s="108">
        <f>0.0573</f>
        <v>0.0573</v>
      </c>
      <c r="G64" s="108">
        <f>0.0538</f>
        <v>0.0538</v>
      </c>
      <c r="H64" s="108">
        <f>0.0482</f>
        <v>0.0482</v>
      </c>
      <c r="I64" s="108">
        <f>0.041</f>
        <v>0.041</v>
      </c>
      <c r="J64" s="108">
        <f>0.0272</f>
        <v>0.0272</v>
      </c>
      <c r="K64" s="108">
        <f>0.0247</f>
        <v>0.0247</v>
      </c>
      <c r="L64" s="108">
        <f>0.0231</f>
        <v>0.0231</v>
      </c>
      <c r="M64" s="108">
        <f>0.0197</f>
        <v>0.0197</v>
      </c>
      <c r="N64" s="108">
        <f>0.0098</f>
        <v>0.0098</v>
      </c>
    </row>
    <row r="65" spans="1:14" ht="18" customHeight="1">
      <c r="A65" s="101">
        <v>21</v>
      </c>
      <c r="B65" s="102" t="s">
        <v>107</v>
      </c>
      <c r="C65" s="103">
        <f>0.0856</f>
        <v>0.0856</v>
      </c>
      <c r="D65" s="103">
        <f>0.0585</f>
        <v>0.0585</v>
      </c>
      <c r="E65" s="103">
        <f>0.0735</f>
        <v>0.0735</v>
      </c>
      <c r="F65" s="103">
        <f>0.0724</f>
        <v>0.0724</v>
      </c>
      <c r="G65" s="103">
        <f>0.0831</f>
        <v>0.0831</v>
      </c>
      <c r="H65" s="103">
        <f>0.0921</f>
        <v>0.0921</v>
      </c>
      <c r="I65" s="103">
        <f>0.1001</f>
        <v>0.1001</v>
      </c>
      <c r="J65" s="103">
        <f>0.1043</f>
        <v>0.1043</v>
      </c>
      <c r="K65" s="103">
        <f>0.1146</f>
        <v>0.1146</v>
      </c>
      <c r="L65" s="103">
        <f>0.1246</f>
        <v>0.1246</v>
      </c>
      <c r="M65" s="103">
        <f>0.1343</f>
        <v>0.1343</v>
      </c>
      <c r="N65" s="103">
        <f>0.1435</f>
        <v>0.1435</v>
      </c>
    </row>
    <row r="66" spans="1:14" ht="16.5" customHeight="1">
      <c r="A66" s="95"/>
      <c r="B66" s="104" t="s">
        <v>108</v>
      </c>
      <c r="C66" s="105">
        <f>0.1342</f>
        <v>0.1342</v>
      </c>
      <c r="D66" s="105">
        <f>0.1232</f>
        <v>0.1232</v>
      </c>
      <c r="E66" s="105">
        <f>0.0848</f>
        <v>0.0848</v>
      </c>
      <c r="F66" s="105">
        <f>0.0725</f>
        <v>0.0725</v>
      </c>
      <c r="G66" s="105">
        <f>0.0681</f>
        <v>0.0681</v>
      </c>
      <c r="H66" s="105">
        <f>0.0763</f>
        <v>0.0763</v>
      </c>
      <c r="I66" s="105">
        <f>0.0825</f>
        <v>0.0825</v>
      </c>
      <c r="J66" s="105">
        <f>0.0918</f>
        <v>0.0918</v>
      </c>
      <c r="K66" s="105">
        <f>0.0988</f>
        <v>0.0988</v>
      </c>
      <c r="L66" s="105">
        <f>0.1063</f>
        <v>0.1063</v>
      </c>
      <c r="M66" s="105">
        <f>0.1145</f>
        <v>0.1145</v>
      </c>
      <c r="N66" s="105">
        <f>0.1245</f>
        <v>0.1245</v>
      </c>
    </row>
    <row r="67" spans="1:14" ht="25.5" customHeight="1">
      <c r="A67" s="95"/>
      <c r="B67" s="104" t="s">
        <v>109</v>
      </c>
      <c r="C67" s="105">
        <f>0.1323</f>
        <v>0.1323</v>
      </c>
      <c r="D67" s="105">
        <f>0.1214</f>
        <v>0.1214</v>
      </c>
      <c r="E67" s="105">
        <f>0.083</f>
        <v>0.083</v>
      </c>
      <c r="F67" s="105">
        <f>0.0725</f>
        <v>0.0725</v>
      </c>
      <c r="G67" s="105">
        <f>0.0681</f>
        <v>0.0681</v>
      </c>
      <c r="H67" s="105">
        <f>0.0763</f>
        <v>0.0763</v>
      </c>
      <c r="I67" s="105">
        <f>0.0825</f>
        <v>0.0825</v>
      </c>
      <c r="J67" s="105">
        <f>0.0918</f>
        <v>0.0918</v>
      </c>
      <c r="K67" s="105">
        <f>0.0988</f>
        <v>0.0988</v>
      </c>
      <c r="L67" s="105">
        <f>0.1063</f>
        <v>0.1063</v>
      </c>
      <c r="M67" s="105">
        <f>0.1145</f>
        <v>0.1145</v>
      </c>
      <c r="N67" s="105">
        <f>0.1245</f>
        <v>0.1245</v>
      </c>
    </row>
    <row r="68" spans="1:14" ht="28.5" customHeight="1">
      <c r="A68" s="95"/>
      <c r="B68" s="104" t="s">
        <v>110</v>
      </c>
      <c r="C68" s="105">
        <f>0.099</f>
        <v>0.099</v>
      </c>
      <c r="D68" s="105">
        <f>0.0585</f>
        <v>0.0585</v>
      </c>
      <c r="E68" s="105">
        <f>0.0781</f>
        <v>0.0781</v>
      </c>
      <c r="F68" s="105">
        <f>0.0573</f>
        <v>0.0573</v>
      </c>
      <c r="G68" s="105">
        <f>0.0538</f>
        <v>0.0538</v>
      </c>
      <c r="H68" s="105">
        <f>0.0482</f>
        <v>0.0482</v>
      </c>
      <c r="I68" s="105">
        <f>0.041</f>
        <v>0.041</v>
      </c>
      <c r="J68" s="105">
        <f>0.0272</f>
        <v>0.0272</v>
      </c>
      <c r="K68" s="105">
        <f>0.0247</f>
        <v>0.0247</v>
      </c>
      <c r="L68" s="105">
        <f>0.0231</f>
        <v>0.0231</v>
      </c>
      <c r="M68" s="105">
        <f>0.0197</f>
        <v>0.0197</v>
      </c>
      <c r="N68" s="105">
        <f>0.0098</f>
        <v>0.0098</v>
      </c>
    </row>
    <row r="69" spans="1:14" ht="30.75" customHeight="1">
      <c r="A69" s="109">
        <v>22</v>
      </c>
      <c r="B69" s="110" t="s">
        <v>111</v>
      </c>
      <c r="C69" s="111" t="str">
        <f>+IF(C68&lt;=C66,"Spełnia","Nie spełnia")</f>
        <v>Spełnia</v>
      </c>
      <c r="D69" s="111" t="str">
        <f aca="true" t="shared" si="2" ref="D69:N69">+IF(D68&lt;=D66,"Spełnia","Nie spełnia")</f>
        <v>Spełnia</v>
      </c>
      <c r="E69" s="111" t="str">
        <f t="shared" si="2"/>
        <v>Spełnia</v>
      </c>
      <c r="F69" s="111" t="str">
        <f t="shared" si="2"/>
        <v>Spełnia</v>
      </c>
      <c r="G69" s="111" t="str">
        <f t="shared" si="2"/>
        <v>Spełnia</v>
      </c>
      <c r="H69" s="111" t="str">
        <f t="shared" si="2"/>
        <v>Spełnia</v>
      </c>
      <c r="I69" s="111" t="str">
        <f t="shared" si="2"/>
        <v>Spełnia</v>
      </c>
      <c r="J69" s="111" t="str">
        <f t="shared" si="2"/>
        <v>Spełnia</v>
      </c>
      <c r="K69" s="111" t="str">
        <f t="shared" si="2"/>
        <v>Spełnia</v>
      </c>
      <c r="L69" s="111" t="str">
        <f t="shared" si="2"/>
        <v>Spełnia</v>
      </c>
      <c r="M69" s="111" t="str">
        <f t="shared" si="2"/>
        <v>Spełnia</v>
      </c>
      <c r="N69" s="111" t="str">
        <f t="shared" si="2"/>
        <v>Spełnia</v>
      </c>
    </row>
    <row r="70" spans="1:14" ht="28.5" customHeight="1">
      <c r="A70" s="109">
        <v>24</v>
      </c>
      <c r="B70" s="110" t="s">
        <v>112</v>
      </c>
      <c r="C70" s="111" t="str">
        <f>+IF(C68&lt;=C67,"Spełnia","Nie spełnia")</f>
        <v>Spełnia</v>
      </c>
      <c r="D70" s="111" t="str">
        <f aca="true" t="shared" si="3" ref="D70:N70">+IF(D68&lt;=D67,"Spełnia","Nie spełnia")</f>
        <v>Spełnia</v>
      </c>
      <c r="E70" s="111" t="str">
        <f t="shared" si="3"/>
        <v>Spełnia</v>
      </c>
      <c r="F70" s="111" t="str">
        <f t="shared" si="3"/>
        <v>Spełnia</v>
      </c>
      <c r="G70" s="111" t="str">
        <f t="shared" si="3"/>
        <v>Spełnia</v>
      </c>
      <c r="H70" s="111" t="str">
        <f t="shared" si="3"/>
        <v>Spełnia</v>
      </c>
      <c r="I70" s="111" t="str">
        <f t="shared" si="3"/>
        <v>Spełnia</v>
      </c>
      <c r="J70" s="111" t="str">
        <f t="shared" si="3"/>
        <v>Spełnia</v>
      </c>
      <c r="K70" s="111" t="str">
        <f t="shared" si="3"/>
        <v>Spełnia</v>
      </c>
      <c r="L70" s="111" t="str">
        <f t="shared" si="3"/>
        <v>Spełnia</v>
      </c>
      <c r="M70" s="111" t="str">
        <f t="shared" si="3"/>
        <v>Spełnia</v>
      </c>
      <c r="N70" s="111" t="str">
        <f t="shared" si="3"/>
        <v>Spełnia</v>
      </c>
    </row>
    <row r="71" spans="1:14" ht="30.75" customHeight="1">
      <c r="A71" s="112">
        <v>25</v>
      </c>
      <c r="B71" s="113" t="s">
        <v>113</v>
      </c>
      <c r="C71" s="105">
        <f>0.075</f>
        <v>0.075</v>
      </c>
      <c r="D71" s="105">
        <f>0.0585</f>
        <v>0.0585</v>
      </c>
      <c r="E71" s="105">
        <f>0.0577</f>
        <v>0.0577</v>
      </c>
      <c r="F71" s="105">
        <f>0.0573</f>
        <v>0.0573</v>
      </c>
      <c r="G71" s="105">
        <f>0.0538</f>
        <v>0.0538</v>
      </c>
      <c r="H71" s="105">
        <f>0.0482</f>
        <v>0.0482</v>
      </c>
      <c r="I71" s="105">
        <f>0.041</f>
        <v>0.041</v>
      </c>
      <c r="J71" s="105">
        <f>0.0272</f>
        <v>0.0272</v>
      </c>
      <c r="K71" s="105">
        <f>0.0247</f>
        <v>0.0247</v>
      </c>
      <c r="L71" s="105">
        <f>0.0231</f>
        <v>0.0231</v>
      </c>
      <c r="M71" s="105">
        <f>0.0197</f>
        <v>0.0197</v>
      </c>
      <c r="N71" s="105">
        <f>0.0098</f>
        <v>0.0098</v>
      </c>
    </row>
    <row r="72" spans="1:14" ht="31.5" customHeight="1">
      <c r="A72" s="114">
        <v>26</v>
      </c>
      <c r="B72" s="115" t="s">
        <v>114</v>
      </c>
      <c r="C72" s="111" t="str">
        <f>+IF(C71&lt;=C66,"Spełnia","Nie spełnia")</f>
        <v>Spełnia</v>
      </c>
      <c r="D72" s="111" t="str">
        <f aca="true" t="shared" si="4" ref="D72:N72">+IF(D71&lt;=D66,"Spełnia","Nie spełnia")</f>
        <v>Spełnia</v>
      </c>
      <c r="E72" s="111" t="str">
        <f t="shared" si="4"/>
        <v>Spełnia</v>
      </c>
      <c r="F72" s="111" t="str">
        <f t="shared" si="4"/>
        <v>Spełnia</v>
      </c>
      <c r="G72" s="111" t="str">
        <f t="shared" si="4"/>
        <v>Spełnia</v>
      </c>
      <c r="H72" s="111" t="str">
        <f t="shared" si="4"/>
        <v>Spełnia</v>
      </c>
      <c r="I72" s="111" t="str">
        <f t="shared" si="4"/>
        <v>Spełnia</v>
      </c>
      <c r="J72" s="111" t="str">
        <f t="shared" si="4"/>
        <v>Spełnia</v>
      </c>
      <c r="K72" s="111" t="str">
        <f t="shared" si="4"/>
        <v>Spełnia</v>
      </c>
      <c r="L72" s="111" t="str">
        <f t="shared" si="4"/>
        <v>Spełnia</v>
      </c>
      <c r="M72" s="111" t="str">
        <f t="shared" si="4"/>
        <v>Spełnia</v>
      </c>
      <c r="N72" s="111" t="str">
        <f t="shared" si="4"/>
        <v>Spełnia</v>
      </c>
    </row>
    <row r="73" spans="1:14" ht="33" customHeight="1">
      <c r="A73" s="116">
        <v>27</v>
      </c>
      <c r="B73" s="117" t="s">
        <v>115</v>
      </c>
      <c r="C73" s="118" t="str">
        <f>+IF(C71&lt;=C67,"Spełnia","Nie spełnia")</f>
        <v>Spełnia</v>
      </c>
      <c r="D73" s="118" t="str">
        <f aca="true" t="shared" si="5" ref="D73:N73">+IF(D71&lt;=D67,"Spełnia","Nie spełnia")</f>
        <v>Spełnia</v>
      </c>
      <c r="E73" s="118" t="str">
        <f t="shared" si="5"/>
        <v>Spełnia</v>
      </c>
      <c r="F73" s="118" t="str">
        <f t="shared" si="5"/>
        <v>Spełnia</v>
      </c>
      <c r="G73" s="118" t="str">
        <f t="shared" si="5"/>
        <v>Spełnia</v>
      </c>
      <c r="H73" s="118" t="str">
        <f t="shared" si="5"/>
        <v>Spełnia</v>
      </c>
      <c r="I73" s="118" t="str">
        <f t="shared" si="5"/>
        <v>Spełnia</v>
      </c>
      <c r="J73" s="118" t="str">
        <f t="shared" si="5"/>
        <v>Spełnia</v>
      </c>
      <c r="K73" s="118" t="str">
        <f t="shared" si="5"/>
        <v>Spełnia</v>
      </c>
      <c r="L73" s="118" t="str">
        <f t="shared" si="5"/>
        <v>Spełnia</v>
      </c>
      <c r="M73" s="118" t="str">
        <f t="shared" si="5"/>
        <v>Spełnia</v>
      </c>
      <c r="N73" s="118" t="str">
        <f t="shared" si="5"/>
        <v>Spełnia</v>
      </c>
    </row>
    <row r="74" spans="1:14" s="53" customFormat="1" ht="22.5" customHeight="1">
      <c r="A74" s="65" t="s">
        <v>53</v>
      </c>
      <c r="B74" s="66" t="s">
        <v>54</v>
      </c>
      <c r="C74" s="65" t="s">
        <v>55</v>
      </c>
      <c r="D74" s="65">
        <f>+C74+1</f>
        <v>2014</v>
      </c>
      <c r="E74" s="65">
        <f>+D74+1</f>
        <v>2015</v>
      </c>
      <c r="F74" s="65">
        <f>+E74+1</f>
        <v>2016</v>
      </c>
      <c r="G74" s="65">
        <f>+F74+1</f>
        <v>2017</v>
      </c>
      <c r="H74" s="65">
        <f>+G74+1</f>
        <v>2018</v>
      </c>
      <c r="I74" s="65">
        <f>+H74+1</f>
        <v>2019</v>
      </c>
      <c r="J74" s="65">
        <f>+I74+1</f>
        <v>2020</v>
      </c>
      <c r="K74" s="65">
        <f>+J74+1</f>
        <v>2021</v>
      </c>
      <c r="L74" s="65">
        <f>+K74+1</f>
        <v>2022</v>
      </c>
      <c r="M74" s="65">
        <f>+L74+1</f>
        <v>2023</v>
      </c>
      <c r="N74" s="65">
        <f>+M74+1</f>
        <v>2024</v>
      </c>
    </row>
    <row r="75" spans="1:14" ht="19.5" customHeight="1">
      <c r="A75" s="119">
        <v>28</v>
      </c>
      <c r="B75" s="126" t="s">
        <v>116</v>
      </c>
      <c r="C75" s="70">
        <f>18582498</f>
        <v>18582498</v>
      </c>
      <c r="D75" s="70">
        <f>19300000</f>
        <v>19300000</v>
      </c>
      <c r="E75" s="70">
        <f>20100000</f>
        <v>20100000</v>
      </c>
      <c r="F75" s="70">
        <f>20700000</f>
        <v>20700000</v>
      </c>
      <c r="G75" s="70">
        <f>21300000</f>
        <v>21300000</v>
      </c>
      <c r="H75" s="70">
        <f>21900000</f>
        <v>21900000</v>
      </c>
      <c r="I75" s="70">
        <f>22500000</f>
        <v>22500000</v>
      </c>
      <c r="J75" s="70">
        <f>23000000</f>
        <v>23000000</v>
      </c>
      <c r="K75" s="70">
        <f>23468000</f>
        <v>23468000</v>
      </c>
      <c r="L75" s="70">
        <f>23937000</f>
        <v>23937000</v>
      </c>
      <c r="M75" s="70">
        <f>24416000</f>
        <v>24416000</v>
      </c>
      <c r="N75" s="70">
        <f>24900000</f>
        <v>24900000</v>
      </c>
    </row>
    <row r="76" spans="1:14" ht="21.75" customHeight="1">
      <c r="A76" s="114">
        <v>29</v>
      </c>
      <c r="B76" s="115" t="s">
        <v>117</v>
      </c>
      <c r="C76" s="73">
        <f>18246178</f>
        <v>18246178</v>
      </c>
      <c r="D76" s="73">
        <f>18607000</f>
        <v>18607000</v>
      </c>
      <c r="E76" s="73">
        <f>18893975</f>
        <v>18893975</v>
      </c>
      <c r="F76" s="73">
        <f>19201000</f>
        <v>19201000</v>
      </c>
      <c r="G76" s="73">
        <f>19530000</f>
        <v>19530000</v>
      </c>
      <c r="H76" s="73">
        <f>19884000</f>
        <v>19884000</v>
      </c>
      <c r="I76" s="73">
        <f>20247000</f>
        <v>20247000</v>
      </c>
      <c r="J76" s="73">
        <f>20600000</f>
        <v>20600000</v>
      </c>
      <c r="K76" s="73">
        <f>20779000</f>
        <v>20779000</v>
      </c>
      <c r="L76" s="73">
        <f>20954000</f>
        <v>20954000</v>
      </c>
      <c r="M76" s="73">
        <f>21136000</f>
        <v>21136000</v>
      </c>
      <c r="N76" s="73">
        <f>21326000</f>
        <v>21326000</v>
      </c>
    </row>
    <row r="77" spans="1:14" ht="21.75" customHeight="1">
      <c r="A77" s="119">
        <v>30</v>
      </c>
      <c r="B77" s="117" t="s">
        <v>118</v>
      </c>
      <c r="C77" s="79">
        <f>336320</f>
        <v>336320</v>
      </c>
      <c r="D77" s="79">
        <f>693000</f>
        <v>693000</v>
      </c>
      <c r="E77" s="79">
        <f>1206025</f>
        <v>1206025</v>
      </c>
      <c r="F77" s="79">
        <f>1499000</f>
        <v>1499000</v>
      </c>
      <c r="G77" s="79">
        <f>1770000</f>
        <v>1770000</v>
      </c>
      <c r="H77" s="79">
        <f>2016000</f>
        <v>2016000</v>
      </c>
      <c r="I77" s="79">
        <f>2253000</f>
        <v>2253000</v>
      </c>
      <c r="J77" s="79">
        <f>2400000</f>
        <v>2400000</v>
      </c>
      <c r="K77" s="79">
        <f>2689000</f>
        <v>2689000</v>
      </c>
      <c r="L77" s="79">
        <f>2983000</f>
        <v>2983000</v>
      </c>
      <c r="M77" s="79">
        <f>3280000</f>
        <v>3280000</v>
      </c>
      <c r="N77" s="79">
        <f>3574000</f>
        <v>3574000</v>
      </c>
    </row>
    <row r="78" spans="1:14" ht="18" customHeight="1">
      <c r="A78" s="114">
        <v>31</v>
      </c>
      <c r="B78" s="126" t="s">
        <v>119</v>
      </c>
      <c r="C78" s="70">
        <f>20785883</f>
        <v>20785883</v>
      </c>
      <c r="D78" s="70">
        <f>21250000</f>
        <v>21250000</v>
      </c>
      <c r="E78" s="70">
        <f>20852000</f>
        <v>20852000</v>
      </c>
      <c r="F78" s="70">
        <f>20700000</f>
        <v>20700000</v>
      </c>
      <c r="G78" s="70">
        <f>21300000</f>
        <v>21300000</v>
      </c>
      <c r="H78" s="70">
        <f>21900000</f>
        <v>21900000</v>
      </c>
      <c r="I78" s="70">
        <f>22500000</f>
        <v>22500000</v>
      </c>
      <c r="J78" s="70">
        <f>23000000</f>
        <v>23000000</v>
      </c>
      <c r="K78" s="70">
        <f>23468000</f>
        <v>23468000</v>
      </c>
      <c r="L78" s="70">
        <f>23937000</f>
        <v>23937000</v>
      </c>
      <c r="M78" s="70">
        <f>24416000</f>
        <v>24416000</v>
      </c>
      <c r="N78" s="70">
        <f>24900000</f>
        <v>24900000</v>
      </c>
    </row>
    <row r="79" spans="1:14" ht="19.5" customHeight="1">
      <c r="A79" s="119">
        <v>32</v>
      </c>
      <c r="B79" s="115" t="s">
        <v>120</v>
      </c>
      <c r="C79" s="73">
        <f>19450748</f>
        <v>19450748</v>
      </c>
      <c r="D79" s="73">
        <f>21215010</f>
        <v>21215010</v>
      </c>
      <c r="E79" s="73">
        <f>19551840</f>
        <v>19551840</v>
      </c>
      <c r="F79" s="73">
        <f>19784865</f>
        <v>19784865</v>
      </c>
      <c r="G79" s="73">
        <f>20384865</f>
        <v>20384865</v>
      </c>
      <c r="H79" s="73">
        <f>21034485</f>
        <v>21034485</v>
      </c>
      <c r="I79" s="73">
        <f>21724449</f>
        <v>21724449</v>
      </c>
      <c r="J79" s="73">
        <f>22483329</f>
        <v>22483329</v>
      </c>
      <c r="K79" s="73">
        <f>22966449</f>
        <v>22966449</v>
      </c>
      <c r="L79" s="73">
        <f>23435449</f>
        <v>23435449</v>
      </c>
      <c r="M79" s="73">
        <f>23961849</f>
        <v>23961849</v>
      </c>
      <c r="N79" s="73">
        <f>24660950</f>
        <v>24660950</v>
      </c>
    </row>
    <row r="80" spans="1:14" ht="19.5" customHeight="1">
      <c r="A80" s="114">
        <v>33</v>
      </c>
      <c r="B80" s="117" t="s">
        <v>121</v>
      </c>
      <c r="C80" s="79">
        <f>1335135</f>
        <v>1335135</v>
      </c>
      <c r="D80" s="79">
        <f>34990</f>
        <v>34990</v>
      </c>
      <c r="E80" s="79">
        <f>1300160</f>
        <v>1300160</v>
      </c>
      <c r="F80" s="79">
        <f>915135</f>
        <v>915135</v>
      </c>
      <c r="G80" s="79">
        <f>915135</f>
        <v>915135</v>
      </c>
      <c r="H80" s="79">
        <f>865515</f>
        <v>865515</v>
      </c>
      <c r="I80" s="79">
        <f>775551</f>
        <v>775551</v>
      </c>
      <c r="J80" s="79">
        <f>516671</f>
        <v>516671</v>
      </c>
      <c r="K80" s="79">
        <f>501551</f>
        <v>501551</v>
      </c>
      <c r="L80" s="79">
        <f>501551</f>
        <v>501551</v>
      </c>
      <c r="M80" s="79">
        <f>454151</f>
        <v>454151</v>
      </c>
      <c r="N80" s="79">
        <f>239050</f>
        <v>239050</v>
      </c>
    </row>
    <row r="81" spans="1:14" ht="19.5" customHeight="1">
      <c r="A81" s="119">
        <v>34</v>
      </c>
      <c r="B81" s="126" t="s">
        <v>122</v>
      </c>
      <c r="C81" s="70">
        <f>262990</f>
        <v>262990</v>
      </c>
      <c r="D81" s="70">
        <f>800145</f>
        <v>800145</v>
      </c>
      <c r="E81" s="70">
        <f>0</f>
        <v>0</v>
      </c>
      <c r="F81" s="70">
        <f>0</f>
        <v>0</v>
      </c>
      <c r="G81" s="70">
        <f>0</f>
        <v>0</v>
      </c>
      <c r="H81" s="70">
        <f>0</f>
        <v>0</v>
      </c>
      <c r="I81" s="70">
        <f>0</f>
        <v>0</v>
      </c>
      <c r="J81" s="70">
        <f>0</f>
        <v>0</v>
      </c>
      <c r="K81" s="70">
        <f>0</f>
        <v>0</v>
      </c>
      <c r="L81" s="70">
        <f>0</f>
        <v>0</v>
      </c>
      <c r="M81" s="70">
        <f>0</f>
        <v>0</v>
      </c>
      <c r="N81" s="70">
        <f>0</f>
        <v>0</v>
      </c>
    </row>
    <row r="82" spans="1:14" ht="21" customHeight="1">
      <c r="A82" s="114">
        <v>35</v>
      </c>
      <c r="B82" s="117" t="s">
        <v>123</v>
      </c>
      <c r="C82" s="79">
        <f>1598125</f>
        <v>1598125</v>
      </c>
      <c r="D82" s="79">
        <f>835135</f>
        <v>835135</v>
      </c>
      <c r="E82" s="79">
        <f>1300160</f>
        <v>1300160</v>
      </c>
      <c r="F82" s="79">
        <f>915135</f>
        <v>915135</v>
      </c>
      <c r="G82" s="79">
        <f>915135</f>
        <v>915135</v>
      </c>
      <c r="H82" s="79">
        <f>865515</f>
        <v>865515</v>
      </c>
      <c r="I82" s="79">
        <f>775551</f>
        <v>775551</v>
      </c>
      <c r="J82" s="79">
        <f>516671</f>
        <v>516671</v>
      </c>
      <c r="K82" s="79">
        <f>501551</f>
        <v>501551</v>
      </c>
      <c r="L82" s="79">
        <f>501551</f>
        <v>501551</v>
      </c>
      <c r="M82" s="79">
        <f>454151</f>
        <v>454151</v>
      </c>
      <c r="N82" s="79">
        <f>239050</f>
        <v>239050</v>
      </c>
    </row>
    <row r="83" spans="1:14" ht="15">
      <c r="A83" s="120"/>
      <c r="B83" s="121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</row>
    <row r="84" spans="1:14" ht="15">
      <c r="A84" s="120"/>
      <c r="B84" s="122" t="s">
        <v>124</v>
      </c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</row>
    <row r="85" spans="2:14" ht="15">
      <c r="B85" s="122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</row>
    <row r="86" spans="3:14" ht="15">
      <c r="C86" s="124"/>
      <c r="D86" s="124"/>
      <c r="E86" s="124"/>
      <c r="F86" s="124"/>
      <c r="G86" s="124"/>
      <c r="H86" s="124"/>
      <c r="I86" s="124"/>
      <c r="J86" s="125" t="s">
        <v>46</v>
      </c>
      <c r="K86" s="124"/>
      <c r="L86" s="124"/>
      <c r="M86" s="124"/>
      <c r="N86" s="124"/>
    </row>
    <row r="87" spans="3:14" ht="15">
      <c r="C87" s="124"/>
      <c r="D87" s="124"/>
      <c r="E87" s="124"/>
      <c r="F87" s="124"/>
      <c r="G87" s="124"/>
      <c r="H87" s="124"/>
      <c r="I87" s="124"/>
      <c r="J87" s="125"/>
      <c r="K87" s="124"/>
      <c r="L87" s="124"/>
      <c r="M87" s="124"/>
      <c r="N87" s="124"/>
    </row>
    <row r="88" spans="3:14" ht="15">
      <c r="C88" s="124"/>
      <c r="D88" s="124"/>
      <c r="E88" s="124"/>
      <c r="F88" s="124"/>
      <c r="G88" s="124"/>
      <c r="H88" s="124"/>
      <c r="I88" s="124"/>
      <c r="J88" s="125" t="s">
        <v>125</v>
      </c>
      <c r="K88" s="124"/>
      <c r="L88" s="124"/>
      <c r="M88" s="124"/>
      <c r="N88" s="124"/>
    </row>
  </sheetData>
  <sheetProtection/>
  <mergeCells count="1">
    <mergeCell ref="B6:M6"/>
  </mergeCells>
  <printOptions/>
  <pageMargins left="0.48" right="0.19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7"/>
  <sheetViews>
    <sheetView tabSelected="1" zoomScalePageLayoutView="0" workbookViewId="0" topLeftCell="A4">
      <selection activeCell="K18" sqref="K18"/>
    </sheetView>
  </sheetViews>
  <sheetFormatPr defaultColWidth="9.140625" defaultRowHeight="15"/>
  <cols>
    <col min="1" max="1" width="3.57421875" style="57" customWidth="1"/>
    <col min="2" max="2" width="60.00390625" style="4" customWidth="1"/>
    <col min="3" max="3" width="10.8515625" style="4" customWidth="1"/>
    <col min="4" max="4" width="5.8515625" style="4" customWidth="1"/>
    <col min="5" max="5" width="6.140625" style="4" customWidth="1"/>
    <col min="6" max="6" width="11.28125" style="4" customWidth="1"/>
    <col min="7" max="7" width="10.8515625" style="4" hidden="1" customWidth="1"/>
    <col min="8" max="8" width="10.140625" style="4" customWidth="1"/>
    <col min="9" max="9" width="10.7109375" style="4" customWidth="1"/>
    <col min="10" max="10" width="11.421875" style="4" customWidth="1"/>
    <col min="11" max="48" width="9.140625" style="4" customWidth="1"/>
    <col min="49" max="49" width="3.57421875" style="4" customWidth="1"/>
    <col min="50" max="50" width="60.00390625" style="4" customWidth="1"/>
    <col min="51" max="51" width="10.8515625" style="4" customWidth="1"/>
    <col min="52" max="52" width="5.8515625" style="4" customWidth="1"/>
    <col min="53" max="53" width="6.140625" style="4" customWidth="1"/>
    <col min="54" max="54" width="11.421875" style="4" customWidth="1"/>
    <col min="55" max="55" width="10.8515625" style="4" customWidth="1"/>
    <col min="56" max="56" width="10.140625" style="4" customWidth="1"/>
    <col min="57" max="57" width="10.7109375" style="4" customWidth="1"/>
    <col min="58" max="58" width="11.421875" style="4" customWidth="1"/>
    <col min="59" max="59" width="11.421875" style="4" bestFit="1" customWidth="1"/>
    <col min="60" max="16384" width="9.140625" style="4" customWidth="1"/>
  </cols>
  <sheetData>
    <row r="1" spans="1:10" ht="15">
      <c r="A1" s="1"/>
      <c r="B1" s="2"/>
      <c r="C1" s="2"/>
      <c r="D1" s="2"/>
      <c r="E1" s="2"/>
      <c r="F1" s="3" t="s">
        <v>0</v>
      </c>
      <c r="H1" s="5"/>
      <c r="I1" s="5"/>
      <c r="J1" s="2"/>
    </row>
    <row r="2" spans="1:10" ht="15">
      <c r="A2" s="1"/>
      <c r="B2" s="2"/>
      <c r="C2" s="2"/>
      <c r="D2" s="2"/>
      <c r="E2" s="2"/>
      <c r="F2" s="3" t="s">
        <v>49</v>
      </c>
      <c r="H2" s="5"/>
      <c r="I2" s="5"/>
      <c r="J2" s="2"/>
    </row>
    <row r="3" spans="1:10" ht="15">
      <c r="A3" s="1"/>
      <c r="B3" s="2"/>
      <c r="C3" s="2"/>
      <c r="D3" s="2"/>
      <c r="E3" s="2"/>
      <c r="F3" s="3" t="s">
        <v>1</v>
      </c>
      <c r="H3" s="5"/>
      <c r="I3" s="5"/>
      <c r="J3" s="2"/>
    </row>
    <row r="4" spans="1:10" ht="15">
      <c r="A4" s="1"/>
      <c r="B4" s="2"/>
      <c r="C4" s="2"/>
      <c r="D4" s="2"/>
      <c r="E4" s="2"/>
      <c r="F4" s="3" t="s">
        <v>50</v>
      </c>
      <c r="H4" s="5"/>
      <c r="I4" s="5"/>
      <c r="J4" s="2"/>
    </row>
    <row r="5" spans="1:10" ht="15">
      <c r="A5" s="1"/>
      <c r="B5" s="2"/>
      <c r="C5" s="2"/>
      <c r="D5" s="2"/>
      <c r="E5" s="2"/>
      <c r="F5" s="2"/>
      <c r="G5" s="2"/>
      <c r="H5" s="2"/>
      <c r="I5" s="2"/>
      <c r="J5" s="2"/>
    </row>
    <row r="6" spans="1:10" ht="15">
      <c r="A6" s="1"/>
      <c r="B6" s="138" t="s">
        <v>2</v>
      </c>
      <c r="C6" s="138"/>
      <c r="D6" s="138"/>
      <c r="E6" s="138"/>
      <c r="F6" s="138"/>
      <c r="G6" s="138"/>
      <c r="H6" s="138"/>
      <c r="I6" s="138"/>
      <c r="J6" s="2"/>
    </row>
    <row r="7" spans="1:10" ht="15">
      <c r="A7" s="1"/>
      <c r="B7" s="2"/>
      <c r="C7" s="2"/>
      <c r="D7" s="2"/>
      <c r="E7" s="2"/>
      <c r="F7" s="2"/>
      <c r="G7" s="2"/>
      <c r="H7" s="2"/>
      <c r="I7" s="2"/>
      <c r="J7" s="2"/>
    </row>
    <row r="8" spans="1:48" ht="15">
      <c r="A8" s="135" t="s">
        <v>3</v>
      </c>
      <c r="B8" s="136" t="s">
        <v>4</v>
      </c>
      <c r="C8" s="135" t="s">
        <v>5</v>
      </c>
      <c r="D8" s="135" t="s">
        <v>6</v>
      </c>
      <c r="E8" s="135"/>
      <c r="F8" s="135" t="s">
        <v>7</v>
      </c>
      <c r="G8" s="135" t="s">
        <v>8</v>
      </c>
      <c r="H8" s="137"/>
      <c r="I8" s="137"/>
      <c r="J8" s="135" t="s">
        <v>9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</row>
    <row r="9" spans="1:48" ht="30.75" customHeight="1">
      <c r="A9" s="135"/>
      <c r="B9" s="136"/>
      <c r="C9" s="135"/>
      <c r="D9" s="7" t="s">
        <v>10</v>
      </c>
      <c r="E9" s="7" t="s">
        <v>11</v>
      </c>
      <c r="F9" s="135"/>
      <c r="G9" s="7">
        <v>2012</v>
      </c>
      <c r="H9" s="7">
        <v>2013</v>
      </c>
      <c r="I9" s="7">
        <v>2014</v>
      </c>
      <c r="J9" s="135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</row>
    <row r="10" spans="1:48" ht="15">
      <c r="A10" s="8" t="s">
        <v>12</v>
      </c>
      <c r="B10" s="9" t="s">
        <v>13</v>
      </c>
      <c r="C10" s="9"/>
      <c r="D10" s="9"/>
      <c r="E10" s="9"/>
      <c r="F10" s="10">
        <f>F11+F12</f>
        <v>3538530</v>
      </c>
      <c r="G10" s="10">
        <f>G11+G12</f>
        <v>1165383</v>
      </c>
      <c r="H10" s="10">
        <f>H11+H12</f>
        <v>1416505</v>
      </c>
      <c r="I10" s="10">
        <f>I11+I12</f>
        <v>1645249</v>
      </c>
      <c r="J10" s="10">
        <f>J11+J12</f>
        <v>2322900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</row>
    <row r="11" spans="1:48" ht="15">
      <c r="A11" s="7"/>
      <c r="B11" s="12" t="s">
        <v>14</v>
      </c>
      <c r="C11" s="13"/>
      <c r="D11" s="13"/>
      <c r="E11" s="13"/>
      <c r="F11" s="14">
        <f aca="true" t="shared" si="0" ref="F11:J12">F14+F32</f>
        <v>1184630</v>
      </c>
      <c r="G11" s="14">
        <f t="shared" si="0"/>
        <v>535483</v>
      </c>
      <c r="H11" s="14">
        <f t="shared" si="0"/>
        <v>641875</v>
      </c>
      <c r="I11" s="14">
        <f t="shared" si="0"/>
        <v>96979</v>
      </c>
      <c r="J11" s="14">
        <f t="shared" si="0"/>
        <v>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</row>
    <row r="12" spans="1:48" ht="15">
      <c r="A12" s="7"/>
      <c r="B12" s="12" t="s">
        <v>15</v>
      </c>
      <c r="C12" s="13"/>
      <c r="D12" s="13"/>
      <c r="E12" s="13"/>
      <c r="F12" s="15">
        <f t="shared" si="0"/>
        <v>2353900</v>
      </c>
      <c r="G12" s="15">
        <f t="shared" si="0"/>
        <v>629900</v>
      </c>
      <c r="H12" s="15">
        <f t="shared" si="0"/>
        <v>774630</v>
      </c>
      <c r="I12" s="15">
        <f t="shared" si="0"/>
        <v>1548270</v>
      </c>
      <c r="J12" s="15">
        <f t="shared" si="0"/>
        <v>2322900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ht="17.25" customHeight="1">
      <c r="A13" s="132">
        <v>1</v>
      </c>
      <c r="B13" s="129" t="s">
        <v>16</v>
      </c>
      <c r="C13" s="129"/>
      <c r="D13" s="129"/>
      <c r="E13" s="129"/>
      <c r="F13" s="133">
        <f>F14+F15</f>
        <v>2973046</v>
      </c>
      <c r="G13" s="133">
        <f>G14+G15</f>
        <v>852408</v>
      </c>
      <c r="H13" s="133">
        <f>H14+H15</f>
        <v>1016422</v>
      </c>
      <c r="I13" s="133">
        <f>I14+I15</f>
        <v>1636639</v>
      </c>
      <c r="J13" s="133">
        <f>J14+J15</f>
        <v>2322900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</row>
    <row r="14" spans="1:48" ht="18" customHeight="1">
      <c r="A14" s="7"/>
      <c r="B14" s="12" t="s">
        <v>14</v>
      </c>
      <c r="C14" s="13"/>
      <c r="D14" s="13"/>
      <c r="E14" s="13"/>
      <c r="F14" s="15">
        <f aca="true" t="shared" si="1" ref="F14:J15">F17+F21</f>
        <v>619146</v>
      </c>
      <c r="G14" s="15">
        <f t="shared" si="1"/>
        <v>222508</v>
      </c>
      <c r="H14" s="15">
        <f t="shared" si="1"/>
        <v>241792</v>
      </c>
      <c r="I14" s="15">
        <f t="shared" si="1"/>
        <v>88369</v>
      </c>
      <c r="J14" s="15">
        <f t="shared" si="1"/>
        <v>0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</row>
    <row r="15" spans="1:48" ht="18" customHeight="1">
      <c r="A15" s="7"/>
      <c r="B15" s="12" t="s">
        <v>15</v>
      </c>
      <c r="C15" s="13"/>
      <c r="D15" s="13"/>
      <c r="E15" s="13"/>
      <c r="F15" s="15">
        <f t="shared" si="1"/>
        <v>2353900</v>
      </c>
      <c r="G15" s="15">
        <f t="shared" si="1"/>
        <v>629900</v>
      </c>
      <c r="H15" s="15">
        <f t="shared" si="1"/>
        <v>774630</v>
      </c>
      <c r="I15" s="15">
        <f t="shared" si="1"/>
        <v>1548270</v>
      </c>
      <c r="J15" s="15">
        <f t="shared" si="1"/>
        <v>2322900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</row>
    <row r="16" spans="1:48" ht="27.75" customHeight="1">
      <c r="A16" s="7" t="s">
        <v>17</v>
      </c>
      <c r="B16" s="13" t="s">
        <v>18</v>
      </c>
      <c r="C16" s="13"/>
      <c r="D16" s="13"/>
      <c r="E16" s="13"/>
      <c r="F16" s="15">
        <f>F17+F18</f>
        <v>0</v>
      </c>
      <c r="G16" s="15">
        <f>G17+G18</f>
        <v>589900</v>
      </c>
      <c r="H16" s="15">
        <f>H17+H18</f>
        <v>0</v>
      </c>
      <c r="I16" s="15">
        <f>I17+I18</f>
        <v>0</v>
      </c>
      <c r="J16" s="15">
        <f>J17+J18</f>
        <v>0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</row>
    <row r="17" spans="1:48" ht="15">
      <c r="A17" s="7"/>
      <c r="B17" s="12" t="s">
        <v>14</v>
      </c>
      <c r="C17" s="13"/>
      <c r="D17" s="13"/>
      <c r="E17" s="13"/>
      <c r="F17" s="15"/>
      <c r="G17" s="15"/>
      <c r="H17" s="15"/>
      <c r="I17" s="15"/>
      <c r="J17" s="17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</row>
    <row r="18" spans="1:48" ht="15">
      <c r="A18" s="7"/>
      <c r="B18" s="12" t="s">
        <v>15</v>
      </c>
      <c r="C18" s="13"/>
      <c r="D18" s="13"/>
      <c r="E18" s="13"/>
      <c r="F18" s="18"/>
      <c r="G18" s="15">
        <v>589900</v>
      </c>
      <c r="H18" s="15"/>
      <c r="I18" s="15"/>
      <c r="J18" s="15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</row>
    <row r="19" spans="1:48" ht="27" customHeight="1">
      <c r="A19" s="22" t="s">
        <v>20</v>
      </c>
      <c r="B19" s="23" t="s">
        <v>21</v>
      </c>
      <c r="C19" s="24"/>
      <c r="D19" s="24"/>
      <c r="E19" s="24"/>
      <c r="F19" s="25">
        <v>0</v>
      </c>
      <c r="G19" s="17"/>
      <c r="H19" s="17">
        <v>0</v>
      </c>
      <c r="I19" s="17">
        <v>0</v>
      </c>
      <c r="J19" s="17">
        <v>0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</row>
    <row r="20" spans="1:48" ht="24">
      <c r="A20" s="22" t="s">
        <v>22</v>
      </c>
      <c r="B20" s="23" t="s">
        <v>23</v>
      </c>
      <c r="C20" s="24"/>
      <c r="D20" s="24"/>
      <c r="E20" s="24"/>
      <c r="F20" s="27">
        <f>F21+F22</f>
        <v>2973046</v>
      </c>
      <c r="G20" s="27">
        <f>G21+G22</f>
        <v>262508</v>
      </c>
      <c r="H20" s="27">
        <f>H21+H22</f>
        <v>1016422</v>
      </c>
      <c r="I20" s="27">
        <f>I21+I22</f>
        <v>1636639</v>
      </c>
      <c r="J20" s="27">
        <f>J21+J22</f>
        <v>2322900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</row>
    <row r="21" spans="1:48" ht="18" customHeight="1">
      <c r="A21" s="22"/>
      <c r="B21" s="12" t="s">
        <v>14</v>
      </c>
      <c r="C21" s="24"/>
      <c r="D21" s="24"/>
      <c r="E21" s="24"/>
      <c r="F21" s="27">
        <f>F23+F24+F27+F28+F29</f>
        <v>619146</v>
      </c>
      <c r="G21" s="27">
        <f>G23+G24+G27+G28+G29</f>
        <v>222508</v>
      </c>
      <c r="H21" s="27">
        <f>H23+H24+H27+H28+H29</f>
        <v>241792</v>
      </c>
      <c r="I21" s="27">
        <f>I23+I24+I27+I28+I29</f>
        <v>88369</v>
      </c>
      <c r="J21" s="27">
        <f>J23+J24+J27+J28+J29</f>
        <v>0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</row>
    <row r="22" spans="1:48" ht="19.5" customHeight="1">
      <c r="A22" s="22"/>
      <c r="B22" s="12" t="s">
        <v>15</v>
      </c>
      <c r="C22" s="24"/>
      <c r="D22" s="24"/>
      <c r="E22" s="24"/>
      <c r="F22" s="60">
        <f>F30</f>
        <v>2353900</v>
      </c>
      <c r="G22" s="60" t="str">
        <f>G30</f>
        <v>40 000,00</v>
      </c>
      <c r="H22" s="60">
        <f>H30</f>
        <v>774630</v>
      </c>
      <c r="I22" s="60">
        <f>I30</f>
        <v>1548270</v>
      </c>
      <c r="J22" s="60">
        <f>J30</f>
        <v>2322900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</row>
    <row r="23" spans="1:48" ht="60">
      <c r="A23" s="22"/>
      <c r="B23" s="28" t="s">
        <v>24</v>
      </c>
      <c r="C23" s="20" t="s">
        <v>19</v>
      </c>
      <c r="D23" s="20">
        <v>2011</v>
      </c>
      <c r="E23" s="20">
        <v>2013</v>
      </c>
      <c r="F23" s="29">
        <v>71217</v>
      </c>
      <c r="G23" s="29">
        <v>32048</v>
      </c>
      <c r="H23" s="30">
        <v>10683</v>
      </c>
      <c r="I23" s="30"/>
      <c r="J23" s="29">
        <v>0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</row>
    <row r="24" spans="1:48" ht="43.5" customHeight="1">
      <c r="A24" s="22"/>
      <c r="B24" s="28" t="s">
        <v>26</v>
      </c>
      <c r="C24" s="20" t="s">
        <v>19</v>
      </c>
      <c r="D24" s="20">
        <v>2012</v>
      </c>
      <c r="E24" s="20">
        <v>2013</v>
      </c>
      <c r="F24" s="31" t="s">
        <v>27</v>
      </c>
      <c r="G24" s="31" t="s">
        <v>28</v>
      </c>
      <c r="H24" s="32" t="s">
        <v>29</v>
      </c>
      <c r="I24" s="30"/>
      <c r="J24" s="29">
        <v>0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</row>
    <row r="25" spans="1:48" ht="15">
      <c r="A25" s="135" t="s">
        <v>3</v>
      </c>
      <c r="B25" s="136" t="s">
        <v>4</v>
      </c>
      <c r="C25" s="135" t="s">
        <v>25</v>
      </c>
      <c r="D25" s="135" t="s">
        <v>6</v>
      </c>
      <c r="E25" s="135"/>
      <c r="F25" s="135" t="s">
        <v>7</v>
      </c>
      <c r="G25" s="135" t="s">
        <v>8</v>
      </c>
      <c r="H25" s="137"/>
      <c r="I25" s="137"/>
      <c r="J25" s="135" t="s">
        <v>9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</row>
    <row r="26" spans="1:48" ht="39" customHeight="1">
      <c r="A26" s="135"/>
      <c r="B26" s="136"/>
      <c r="C26" s="135"/>
      <c r="D26" s="7" t="s">
        <v>10</v>
      </c>
      <c r="E26" s="7" t="s">
        <v>11</v>
      </c>
      <c r="F26" s="135"/>
      <c r="G26" s="7">
        <v>2012</v>
      </c>
      <c r="H26" s="7">
        <v>2013</v>
      </c>
      <c r="I26" s="7">
        <v>2014</v>
      </c>
      <c r="J26" s="135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</row>
    <row r="27" spans="1:48" ht="39.75" customHeight="1">
      <c r="A27" s="7"/>
      <c r="B27" s="28" t="s">
        <v>30</v>
      </c>
      <c r="C27" s="20" t="s">
        <v>19</v>
      </c>
      <c r="D27" s="20">
        <v>2012</v>
      </c>
      <c r="E27" s="20">
        <v>2013</v>
      </c>
      <c r="F27" s="42">
        <v>14499</v>
      </c>
      <c r="G27" s="42" t="s">
        <v>31</v>
      </c>
      <c r="H27" s="58">
        <v>8699</v>
      </c>
      <c r="I27" s="33"/>
      <c r="J27" s="21" t="s">
        <v>37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</row>
    <row r="28" spans="1:48" ht="27.75" customHeight="1">
      <c r="A28" s="22"/>
      <c r="B28" s="28" t="s">
        <v>32</v>
      </c>
      <c r="C28" s="20" t="s">
        <v>19</v>
      </c>
      <c r="D28" s="20">
        <v>2011</v>
      </c>
      <c r="E28" s="20">
        <v>2014</v>
      </c>
      <c r="F28" s="29">
        <v>397680</v>
      </c>
      <c r="G28" s="30">
        <v>132560</v>
      </c>
      <c r="H28" s="30">
        <v>132560</v>
      </c>
      <c r="I28" s="30">
        <v>88369</v>
      </c>
      <c r="J28" s="30">
        <v>0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</row>
    <row r="29" spans="1:48" ht="27" customHeight="1">
      <c r="A29" s="22"/>
      <c r="B29" s="34" t="s">
        <v>33</v>
      </c>
      <c r="C29" s="20" t="s">
        <v>19</v>
      </c>
      <c r="D29" s="20">
        <v>2012</v>
      </c>
      <c r="E29" s="20">
        <v>2013</v>
      </c>
      <c r="F29" s="35" t="s">
        <v>34</v>
      </c>
      <c r="G29" s="32" t="s">
        <v>35</v>
      </c>
      <c r="H29" s="32" t="s">
        <v>36</v>
      </c>
      <c r="I29" s="32"/>
      <c r="J29" s="32" t="s">
        <v>37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</row>
    <row r="30" spans="1:48" ht="19.5" customHeight="1">
      <c r="A30" s="22"/>
      <c r="B30" s="19" t="s">
        <v>51</v>
      </c>
      <c r="C30" s="20" t="s">
        <v>19</v>
      </c>
      <c r="D30" s="20">
        <v>2013</v>
      </c>
      <c r="E30" s="20">
        <v>2014</v>
      </c>
      <c r="F30" s="39">
        <v>2353900</v>
      </c>
      <c r="G30" s="59" t="s">
        <v>35</v>
      </c>
      <c r="H30" s="59">
        <v>774630</v>
      </c>
      <c r="I30" s="59">
        <v>1548270</v>
      </c>
      <c r="J30" s="59">
        <v>2322900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</row>
    <row r="31" spans="1:48" ht="36">
      <c r="A31" s="128">
        <v>2</v>
      </c>
      <c r="B31" s="129" t="s">
        <v>38</v>
      </c>
      <c r="C31" s="130"/>
      <c r="D31" s="130"/>
      <c r="E31" s="130"/>
      <c r="F31" s="131">
        <f>F32+F33</f>
        <v>565484</v>
      </c>
      <c r="G31" s="131">
        <f>G32+G33</f>
        <v>312975</v>
      </c>
      <c r="H31" s="131">
        <f>H32+H33</f>
        <v>400083</v>
      </c>
      <c r="I31" s="131">
        <f>I32+I33</f>
        <v>8610</v>
      </c>
      <c r="J31" s="131">
        <f>J32+J33</f>
        <v>0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10" ht="15">
      <c r="A32" s="36"/>
      <c r="B32" s="12" t="s">
        <v>14</v>
      </c>
      <c r="C32" s="37"/>
      <c r="D32" s="37"/>
      <c r="E32" s="37"/>
      <c r="F32" s="38">
        <f>SUM(F34:F37)</f>
        <v>565484</v>
      </c>
      <c r="G32" s="38">
        <v>312975</v>
      </c>
      <c r="H32" s="38">
        <v>400083</v>
      </c>
      <c r="I32" s="38">
        <f>I35+I36+I34</f>
        <v>8610</v>
      </c>
      <c r="J32" s="38">
        <v>0</v>
      </c>
    </row>
    <row r="33" spans="1:10" ht="15">
      <c r="A33" s="36"/>
      <c r="B33" s="12" t="s">
        <v>15</v>
      </c>
      <c r="C33" s="37"/>
      <c r="D33" s="37"/>
      <c r="E33" s="37"/>
      <c r="F33" s="27"/>
      <c r="G33" s="27"/>
      <c r="H33" s="27"/>
      <c r="I33" s="27"/>
      <c r="J33" s="27"/>
    </row>
    <row r="34" spans="1:10" ht="36">
      <c r="A34" s="36"/>
      <c r="B34" s="34" t="s">
        <v>39</v>
      </c>
      <c r="C34" s="20" t="s">
        <v>19</v>
      </c>
      <c r="D34" s="20">
        <v>2012</v>
      </c>
      <c r="E34" s="20">
        <v>2013</v>
      </c>
      <c r="F34" s="39">
        <v>171430</v>
      </c>
      <c r="G34" s="39" t="s">
        <v>40</v>
      </c>
      <c r="H34" s="40">
        <v>120000</v>
      </c>
      <c r="I34" s="32"/>
      <c r="J34" s="40">
        <v>0</v>
      </c>
    </row>
    <row r="35" spans="1:10" ht="18" customHeight="1">
      <c r="A35" s="36"/>
      <c r="B35" s="41" t="s">
        <v>41</v>
      </c>
      <c r="C35" s="20" t="s">
        <v>19</v>
      </c>
      <c r="D35" s="20">
        <v>2012</v>
      </c>
      <c r="E35" s="20">
        <v>2013</v>
      </c>
      <c r="F35" s="42">
        <f>SUM(G35:H35)</f>
        <v>68838</v>
      </c>
      <c r="G35" s="29">
        <v>57365</v>
      </c>
      <c r="H35" s="30">
        <v>11473</v>
      </c>
      <c r="I35" s="20"/>
      <c r="J35" s="30">
        <v>0</v>
      </c>
    </row>
    <row r="36" spans="1:48" ht="17.25" customHeight="1">
      <c r="A36" s="43"/>
      <c r="B36" s="44" t="s">
        <v>42</v>
      </c>
      <c r="C36" s="45" t="s">
        <v>19</v>
      </c>
      <c r="D36" s="45">
        <v>2012</v>
      </c>
      <c r="E36" s="45">
        <v>2014</v>
      </c>
      <c r="F36" s="42">
        <f>SUM(G36:I36)</f>
        <v>25830</v>
      </c>
      <c r="G36" s="46">
        <v>8610</v>
      </c>
      <c r="H36" s="46">
        <v>8610</v>
      </c>
      <c r="I36" s="46">
        <v>8610</v>
      </c>
      <c r="J36" s="46">
        <v>0</v>
      </c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</row>
    <row r="37" spans="1:10" ht="18.75" customHeight="1">
      <c r="A37" s="48"/>
      <c r="B37" s="49" t="s">
        <v>43</v>
      </c>
      <c r="C37" s="45" t="s">
        <v>19</v>
      </c>
      <c r="D37" s="49">
        <v>2012</v>
      </c>
      <c r="E37" s="49">
        <v>2013</v>
      </c>
      <c r="F37" s="50">
        <v>299386</v>
      </c>
      <c r="G37" s="51" t="s">
        <v>44</v>
      </c>
      <c r="H37" s="51" t="s">
        <v>45</v>
      </c>
      <c r="I37" s="51"/>
      <c r="J37" s="51" t="s">
        <v>37</v>
      </c>
    </row>
    <row r="38" spans="1:10" ht="29.25" customHeight="1">
      <c r="A38" s="52"/>
      <c r="B38" s="53"/>
      <c r="C38" s="53"/>
      <c r="D38" s="53"/>
      <c r="E38" s="53"/>
      <c r="F38" s="54"/>
      <c r="G38" s="53"/>
      <c r="H38" s="53"/>
      <c r="I38" s="53"/>
      <c r="J38" s="53"/>
    </row>
    <row r="39" spans="1:10" ht="15">
      <c r="A39" s="52"/>
      <c r="B39" s="53"/>
      <c r="C39" s="53"/>
      <c r="D39" s="53"/>
      <c r="E39" s="53"/>
      <c r="F39" s="55" t="s">
        <v>46</v>
      </c>
      <c r="G39" s="56" t="s">
        <v>46</v>
      </c>
      <c r="H39" s="56"/>
      <c r="I39" s="53"/>
      <c r="J39" s="53"/>
    </row>
    <row r="40" spans="1:10" ht="15">
      <c r="A40" s="52"/>
      <c r="B40" s="53"/>
      <c r="C40" s="53"/>
      <c r="D40" s="53"/>
      <c r="E40" s="53"/>
      <c r="F40" s="55"/>
      <c r="G40" s="56"/>
      <c r="H40" s="56"/>
      <c r="I40" s="53"/>
      <c r="J40" s="53"/>
    </row>
    <row r="41" spans="1:10" ht="15">
      <c r="A41" s="52"/>
      <c r="B41" s="53"/>
      <c r="C41" s="53"/>
      <c r="D41" s="53"/>
      <c r="E41" s="53"/>
      <c r="F41" s="55" t="s">
        <v>47</v>
      </c>
      <c r="G41" s="56" t="s">
        <v>48</v>
      </c>
      <c r="H41" s="56"/>
      <c r="I41" s="53"/>
      <c r="J41" s="53"/>
    </row>
    <row r="42" spans="1:10" ht="15">
      <c r="A42" s="52"/>
      <c r="B42" s="53"/>
      <c r="C42" s="53"/>
      <c r="D42" s="53"/>
      <c r="E42" s="53"/>
      <c r="F42" s="53"/>
      <c r="G42" s="56"/>
      <c r="H42" s="56"/>
      <c r="I42" s="53"/>
      <c r="J42" s="53"/>
    </row>
    <row r="43" spans="1:10" ht="15">
      <c r="A43" s="52"/>
      <c r="B43" s="53"/>
      <c r="C43" s="53"/>
      <c r="D43" s="53"/>
      <c r="E43" s="53"/>
      <c r="F43" s="53"/>
      <c r="G43" s="53"/>
      <c r="H43" s="53"/>
      <c r="I43" s="53"/>
      <c r="J43" s="53"/>
    </row>
    <row r="44" spans="1:10" ht="15">
      <c r="A44" s="52"/>
      <c r="B44" s="53"/>
      <c r="C44" s="53"/>
      <c r="D44" s="53"/>
      <c r="E44" s="53"/>
      <c r="F44" s="53"/>
      <c r="G44" s="53"/>
      <c r="H44" s="53"/>
      <c r="I44" s="53"/>
      <c r="J44" s="53"/>
    </row>
    <row r="45" spans="1:10" ht="15">
      <c r="A45" s="52"/>
      <c r="B45" s="53"/>
      <c r="C45" s="53"/>
      <c r="D45" s="53"/>
      <c r="E45" s="53"/>
      <c r="F45" s="53"/>
      <c r="G45" s="53"/>
      <c r="H45" s="53"/>
      <c r="I45" s="53"/>
      <c r="J45" s="53"/>
    </row>
    <row r="46" spans="1:10" ht="15">
      <c r="A46" s="52"/>
      <c r="B46" s="53"/>
      <c r="C46" s="53"/>
      <c r="D46" s="53"/>
      <c r="E46" s="53"/>
      <c r="F46" s="53"/>
      <c r="G46" s="53"/>
      <c r="H46" s="53"/>
      <c r="I46" s="53"/>
      <c r="J46" s="53"/>
    </row>
    <row r="47" spans="1:10" ht="15">
      <c r="A47" s="52"/>
      <c r="B47" s="53"/>
      <c r="C47" s="53"/>
      <c r="D47" s="53"/>
      <c r="E47" s="53"/>
      <c r="F47" s="53"/>
      <c r="G47" s="53"/>
      <c r="H47" s="53"/>
      <c r="I47" s="53"/>
      <c r="J47" s="53"/>
    </row>
  </sheetData>
  <sheetProtection/>
  <mergeCells count="15">
    <mergeCell ref="B6:I6"/>
    <mergeCell ref="A8:A9"/>
    <mergeCell ref="B8:B9"/>
    <mergeCell ref="C8:C9"/>
    <mergeCell ref="D8:E8"/>
    <mergeCell ref="F8:F9"/>
    <mergeCell ref="G8:I8"/>
    <mergeCell ref="J8:J9"/>
    <mergeCell ref="A25:A26"/>
    <mergeCell ref="B25:B26"/>
    <mergeCell ref="C25:C26"/>
    <mergeCell ref="D25:E25"/>
    <mergeCell ref="F25:F26"/>
    <mergeCell ref="G25:I25"/>
    <mergeCell ref="J25:J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2012-12-28T06:36:35Z</dcterms:modified>
  <cp:category/>
  <cp:version/>
  <cp:contentType/>
  <cp:contentStatus/>
</cp:coreProperties>
</file>